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3740" windowHeight="8445" activeTab="0"/>
  </bookViews>
  <sheets>
    <sheet name="ORÇAMENTO" sheetId="1" r:id="rId1"/>
    <sheet name="CRONOGRAMA" sheetId="2" r:id="rId2"/>
    <sheet name="BDI" sheetId="3" r:id="rId3"/>
    <sheet name="COMPOSIÇÕES" sheetId="4" r:id="rId4"/>
    <sheet name="ENCARGOS" sheetId="5" r:id="rId5"/>
  </sheets>
  <externalReferences>
    <externalReference r:id="rId8"/>
  </externalReferences>
  <definedNames>
    <definedName name="_xlnm.Print_Area" localSheetId="2">'BDI'!$A$1:$M$54</definedName>
    <definedName name="_xlnm.Print_Area" localSheetId="3">'COMPOSIÇÕES'!$A$1:$G$54</definedName>
    <definedName name="_xlnm.Print_Area" localSheetId="1">'CRONOGRAMA'!$A$1:$M$35</definedName>
    <definedName name="_xlnm.Print_Area" localSheetId="4">'ENCARGOS'!$A$1:$H$59</definedName>
    <definedName name="_xlnm.Print_Area" localSheetId="0">'ORÇAMENTO'!$A$1:$I$31</definedName>
    <definedName name="_xlnm.Print_Titles" localSheetId="0">'ORÇAMENTO'!$1:$14</definedName>
  </definedNames>
  <calcPr fullCalcOnLoad="1"/>
</workbook>
</file>

<file path=xl/sharedStrings.xml><?xml version="1.0" encoding="utf-8"?>
<sst xmlns="http://schemas.openxmlformats.org/spreadsheetml/2006/main" count="353" uniqueCount="263">
  <si>
    <t>ITEM</t>
  </si>
  <si>
    <t>1.1</t>
  </si>
  <si>
    <t>3.1</t>
  </si>
  <si>
    <t>5.1</t>
  </si>
  <si>
    <t>Valor por item -R$</t>
  </si>
  <si>
    <t xml:space="preserve">TOTAL GERAL </t>
  </si>
  <si>
    <t>Proponente</t>
  </si>
  <si>
    <t>VALOR GLOBAL</t>
  </si>
  <si>
    <t>m</t>
  </si>
  <si>
    <t>SERVIÇOS</t>
  </si>
  <si>
    <t>6.1</t>
  </si>
  <si>
    <t>Assunto:</t>
  </si>
  <si>
    <t>Empreendimento:</t>
  </si>
  <si>
    <t>PLANILHA ORÇAMENTÁRIA</t>
  </si>
  <si>
    <t>Responsável Técnico</t>
  </si>
  <si>
    <t>Responsável Técnico/CREA</t>
  </si>
  <si>
    <t>Total</t>
  </si>
  <si>
    <t>CRONOGRAMA FÍSICO-FINANCEIRO</t>
  </si>
  <si>
    <t>% s/ obra</t>
  </si>
  <si>
    <t>3.2</t>
  </si>
  <si>
    <t>3.3</t>
  </si>
  <si>
    <t>6.3</t>
  </si>
  <si>
    <t>5.2</t>
  </si>
  <si>
    <t>5.3</t>
  </si>
  <si>
    <t>6.2</t>
  </si>
  <si>
    <t>6.4</t>
  </si>
  <si>
    <t>1º ETAPA</t>
  </si>
  <si>
    <t>2º ETAPA</t>
  </si>
  <si>
    <t>3º ETAPA</t>
  </si>
  <si>
    <t>P. TOTAL</t>
  </si>
  <si>
    <t>Item</t>
  </si>
  <si>
    <t>Unid.</t>
  </si>
  <si>
    <t>Quant.</t>
  </si>
  <si>
    <t>P. Unit. s/ BDI</t>
  </si>
  <si>
    <t>BDI</t>
  </si>
  <si>
    <t>Cod.</t>
  </si>
  <si>
    <t>DISCRIMINAÇÃO</t>
  </si>
  <si>
    <t>un</t>
  </si>
  <si>
    <t>PREFEITURA MUNICIPAL DE IPIXUNA DO PARÁ</t>
  </si>
  <si>
    <t>CNPJ: 83.268.011/0001-84</t>
  </si>
  <si>
    <t>SECRETARIA MUNICIPAL DE OBRAS, TRANSPORTE, ÁGUA E URBANISMO</t>
  </si>
  <si>
    <t>PERIMETRO</t>
  </si>
  <si>
    <t>5.4</t>
  </si>
  <si>
    <t>Ref.</t>
  </si>
  <si>
    <t>SEDOP</t>
  </si>
  <si>
    <t>ENDEREÇO: AV. PRESIDENTE GETÚLIO VARGAS, 505. CENTRO.</t>
  </si>
  <si>
    <t>PASSO A PASSO:
1- Selecionar o Tipo de BDI
2- Selecionar o Tipo de Obra
3- Preencher as células em amarelo</t>
  </si>
  <si>
    <t>Nº DOC:</t>
  </si>
  <si>
    <t>REVISÃO:</t>
  </si>
  <si>
    <t>DATA:</t>
  </si>
  <si>
    <t>TIPO DE BDI:</t>
  </si>
  <si>
    <t>DESONERADO</t>
  </si>
  <si>
    <t>TIPO DE OBRA:</t>
  </si>
  <si>
    <t>CONSTRUÇÃO DE EDIFÍCIOS</t>
  </si>
  <si>
    <t>PLANILHA DE BONIFICAÇÃO E DESPESAS INDIRETAS - BDI - SERVIÇO</t>
  </si>
  <si>
    <t>ITENS</t>
  </si>
  <si>
    <t>DESCRIÇÃO</t>
  </si>
  <si>
    <t>%</t>
  </si>
  <si>
    <t>1.0</t>
  </si>
  <si>
    <t>ADMINISTRAÇÃO CENTRAL</t>
  </si>
  <si>
    <t>CUSTO TOTAL DO SERVIÇO (R$)</t>
  </si>
  <si>
    <t>VALOR (R$)</t>
  </si>
  <si>
    <t>TAXA (%)</t>
  </si>
  <si>
    <t>OBS.</t>
  </si>
  <si>
    <t>SITUAÇÃO DO INTERVALO</t>
  </si>
  <si>
    <t>PARCELAS DO BDI (%)</t>
  </si>
  <si>
    <t>SIGLA</t>
  </si>
  <si>
    <t>TEXTO</t>
  </si>
  <si>
    <t>2.0</t>
  </si>
  <si>
    <t>DESPESAS FINANCEIRAS</t>
  </si>
  <si>
    <t>1º QUARTIL</t>
  </si>
  <si>
    <t>MÉDIO</t>
  </si>
  <si>
    <t>3º QUARTIL</t>
  </si>
  <si>
    <t>AC - ADMINISTRAÇÃO CENTRAL</t>
  </si>
  <si>
    <t>AC</t>
  </si>
  <si>
    <t>3.0</t>
  </si>
  <si>
    <t>SEGURO / GARANTIA / RISCO</t>
  </si>
  <si>
    <t>SG - SEGUROS e GARANTIA</t>
  </si>
  <si>
    <t>SG</t>
  </si>
  <si>
    <t>SEGUROS e GARANTIA</t>
  </si>
  <si>
    <t>Seguro de Risco de Engenharia</t>
  </si>
  <si>
    <t>R - RISCOS</t>
  </si>
  <si>
    <t>R</t>
  </si>
  <si>
    <t>RISCOS</t>
  </si>
  <si>
    <t>Garantia</t>
  </si>
  <si>
    <t>DF - DESPESAS FINANCEIRAS</t>
  </si>
  <si>
    <t>DF</t>
  </si>
  <si>
    <t>Riscos</t>
  </si>
  <si>
    <t>L - LUCRO BRUTO</t>
  </si>
  <si>
    <t>L</t>
  </si>
  <si>
    <t>LUCRO BRUTO</t>
  </si>
  <si>
    <t>I - IMPOSTOS</t>
  </si>
  <si>
    <t>I</t>
  </si>
  <si>
    <t>IMPOSTOS</t>
  </si>
  <si>
    <t>4.0</t>
  </si>
  <si>
    <t>PIS</t>
  </si>
  <si>
    <t>COFINS</t>
  </si>
  <si>
    <t>5.0</t>
  </si>
  <si>
    <t>TRIBUTOS</t>
  </si>
  <si>
    <t>ISS (CONFORME LEGISLAÇÃO MUNICIPAL)</t>
  </si>
  <si>
    <t>ISS (Observar Percentual da Localidade)</t>
  </si>
  <si>
    <t>CONTRIB.PREV. SOBRE REC. BRUTA - CPRB</t>
  </si>
  <si>
    <t>Equação Acordão TCU 2.622/2013 - Plenário</t>
  </si>
  <si>
    <t>TOTAL DO BDI (R$)</t>
  </si>
  <si>
    <t>Parâmetros do Acórdão 2.622/2013 - Plenário</t>
  </si>
  <si>
    <t>PREÇO DE VENDA (R$)</t>
  </si>
  <si>
    <t>SEM CPRB</t>
  </si>
  <si>
    <t>CPRB</t>
  </si>
  <si>
    <t>BDI (%)</t>
  </si>
  <si>
    <t>COM CPRB</t>
  </si>
  <si>
    <t>BDI =</t>
  </si>
  <si>
    <t>(((1+(AC+S+R+G))*(1+DF)*(1+L))/((1-I) )-1)*100</t>
  </si>
  <si>
    <t>NOTAS:</t>
  </si>
  <si>
    <t>1 - A fórmula proposta para cálculo do BDI, acima utilizada, segue o Acórdão 2.622/2013-TCU/Plenário;</t>
  </si>
  <si>
    <t>2 - Alíquota do ISS é determinada pela "Relação de Serviços" do município onde se prestará o serviço conforme art. 1° e art. 8° da Lei Complementar n° 116/2001;</t>
  </si>
  <si>
    <t>3 - Alíquota máxima de PIS é de até 1,65% conforme Lei n°10.637/02 em consonância ao Regime de Tributação da Empresa;</t>
  </si>
  <si>
    <t>4 - Alíquota máxima de COFINS é de 3% conforme Lei n° 10.833/03;</t>
  </si>
  <si>
    <t>5 - Os percentuais dos itens que compõem analiticamente o BDI são os limites referenciais máximos admitidos pela Administração.</t>
  </si>
  <si>
    <t>6 - A alíquota do ISS aplicada no município  é de 5%, porém,  a título de materiais incorporados à obra em regime presumido de dedução. Desta forma, no BDI foi aplicado o percentual de 2,5%.</t>
  </si>
  <si>
    <t>m2</t>
  </si>
  <si>
    <t>m3</t>
  </si>
  <si>
    <t>SINAPI</t>
  </si>
  <si>
    <t>ORSE</t>
  </si>
  <si>
    <t>Ipixuna do Pará (PA),</t>
  </si>
  <si>
    <t>CREA 151.686.693-2</t>
  </si>
  <si>
    <t>ENG. CIVIL ALICE MORAIS</t>
  </si>
  <si>
    <t>TÉCNICO RESPONSÁVEL:</t>
  </si>
  <si>
    <t>CPU</t>
  </si>
  <si>
    <t>RESPONSAVEL TÉCNICO: ENG. CIVIL ALICE C. OLIVEIRA DE MORAIS  / CREA 151.686.693-2
Contato: (91) 98468-1798 e-mail: alicemorais.co@gmail.com</t>
  </si>
  <si>
    <t>OBJETO:</t>
  </si>
  <si>
    <t>UND.:</t>
  </si>
  <si>
    <t>FONTE</t>
  </si>
  <si>
    <t>CÓDIGO</t>
  </si>
  <si>
    <t>Und.</t>
  </si>
  <si>
    <t>Valor</t>
  </si>
  <si>
    <t>SERVENTE COM ENCARGOS COMPLEMENTARES</t>
  </si>
  <si>
    <t>H</t>
  </si>
  <si>
    <t>COMPOSIÇÕES DE PREÇO UNITÁRIO</t>
  </si>
  <si>
    <t>TOTAL MATERIAL/EQUIPAMENTO/MÃO DE OBRA</t>
  </si>
  <si>
    <t>ENCARGOS SOCIAIS</t>
  </si>
  <si>
    <t>ENCARGOS SOCIAIS SOBRE A MÃO DE OBRA</t>
  </si>
  <si>
    <t>COM DESONERAÇÃO</t>
  </si>
  <si>
    <t>SEM DESONERAÇÃO</t>
  </si>
  <si>
    <t>HORISTA (%)</t>
  </si>
  <si>
    <t>MENSALISTA (%)</t>
  </si>
  <si>
    <t>GRUPO A</t>
  </si>
  <si>
    <t>A1</t>
  </si>
  <si>
    <t>INSS</t>
  </si>
  <si>
    <t>A2</t>
  </si>
  <si>
    <t xml:space="preserve">SESI </t>
  </si>
  <si>
    <t>A3</t>
  </si>
  <si>
    <t>SENAI</t>
  </si>
  <si>
    <t>A4</t>
  </si>
  <si>
    <t xml:space="preserve">INCRA </t>
  </si>
  <si>
    <t>A5</t>
  </si>
  <si>
    <t xml:space="preserve">SEBRAE </t>
  </si>
  <si>
    <t>A6</t>
  </si>
  <si>
    <t xml:space="preserve">Salário Educação </t>
  </si>
  <si>
    <t>A7</t>
  </si>
  <si>
    <t>Seguro Contra Acidentes de Trabalho</t>
  </si>
  <si>
    <t>A8</t>
  </si>
  <si>
    <t xml:space="preserve">FGTS </t>
  </si>
  <si>
    <t>A9</t>
  </si>
  <si>
    <t xml:space="preserve">SECONCI </t>
  </si>
  <si>
    <t>A</t>
  </si>
  <si>
    <t>GRUPO B</t>
  </si>
  <si>
    <t>B1</t>
  </si>
  <si>
    <t xml:space="preserve">Repouso Semanal Remunerado </t>
  </si>
  <si>
    <t>Não incide</t>
  </si>
  <si>
    <t>B2</t>
  </si>
  <si>
    <t>Feriados</t>
  </si>
  <si>
    <t>B3</t>
  </si>
  <si>
    <t xml:space="preserve">Auxílio - Enfermidade </t>
  </si>
  <si>
    <t>B4</t>
  </si>
  <si>
    <t xml:space="preserve">13º Salário </t>
  </si>
  <si>
    <t>B5</t>
  </si>
  <si>
    <t>Licença Paternidade</t>
  </si>
  <si>
    <t>B6</t>
  </si>
  <si>
    <t>Faltas Justificadas</t>
  </si>
  <si>
    <t>B7</t>
  </si>
  <si>
    <t xml:space="preserve">Dias de Chuvas </t>
  </si>
  <si>
    <t>B8</t>
  </si>
  <si>
    <t>Auxílio Acidente de Trabalho</t>
  </si>
  <si>
    <t>B9</t>
  </si>
  <si>
    <t xml:space="preserve">Férias Gozadas </t>
  </si>
  <si>
    <t>B10</t>
  </si>
  <si>
    <t>Salário Maternidade</t>
  </si>
  <si>
    <t>B</t>
  </si>
  <si>
    <t>GRUPO C</t>
  </si>
  <si>
    <t>C1</t>
  </si>
  <si>
    <t>Aviso Prévio Indenizado</t>
  </si>
  <si>
    <t>C2</t>
  </si>
  <si>
    <t>Aviso Prévio Trabalhado</t>
  </si>
  <si>
    <t>C3</t>
  </si>
  <si>
    <t>Férias Indenizadas</t>
  </si>
  <si>
    <t>C4</t>
  </si>
  <si>
    <t>Depósito Rescisão Sem Justa Causa</t>
  </si>
  <si>
    <t>C5</t>
  </si>
  <si>
    <t xml:space="preserve">Indenização Adicional </t>
  </si>
  <si>
    <t>C</t>
  </si>
  <si>
    <t>GRUPO D</t>
  </si>
  <si>
    <t>D1</t>
  </si>
  <si>
    <t xml:space="preserve">Reincidência de Grupo A sobre Grupo B </t>
  </si>
  <si>
    <t>D2</t>
  </si>
  <si>
    <t>Reincidência de Grupo A sobre Aviso Prévio Trabalhado e Reincidência do FGTS sobre Aviso Prévio Indenizado</t>
  </si>
  <si>
    <t>D</t>
  </si>
  <si>
    <t>TOTAL (A+B+C+D)</t>
  </si>
  <si>
    <t>050258</t>
  </si>
  <si>
    <t>Concreto c/ seixo Fck= 15 MPA (incl. lançamento e adensamento)</t>
  </si>
  <si>
    <t>13844</t>
  </si>
  <si>
    <t>Brinquedo - Balanço Duplo, modelo M117, da Lúdico Brinquedos Inteligentes ou similar - fornecimento e montagem</t>
  </si>
  <si>
    <t>006</t>
  </si>
  <si>
    <t>Brinquedo - Gangorra Dupla, modelo M119 ou similar - fornecimento e instalação</t>
  </si>
  <si>
    <t>13849</t>
  </si>
  <si>
    <t>Brinquedo - Gangorra Dupla, modelo M119, da Lúdico Brinquedos Inteligentes ou similar</t>
  </si>
  <si>
    <t>P. Unit. c/ BDI</t>
  </si>
  <si>
    <t>PAVIMENTAÇÃO</t>
  </si>
  <si>
    <t>92394</t>
  </si>
  <si>
    <t>M2</t>
  </si>
  <si>
    <t>2.1</t>
  </si>
  <si>
    <t>SERVIÇOS PRELIMINARES</t>
  </si>
  <si>
    <t>BDI( % ):</t>
  </si>
  <si>
    <t>REFERÊNCIA: SINAPI JUNHO/2022 - DESONERADO / SEDOP 05/2022</t>
  </si>
  <si>
    <t>011340</t>
  </si>
  <si>
    <t>Placa de obra em lona com plotagem de gráfica</t>
  </si>
  <si>
    <t>EXECUÇÃO DE PAVIMENTO EM PISO INTERTRAVADO, COM BLOCO SEXTAVADO DE 25 X 25 CM, ESPESSURA 8 CM. AF_12/2015</t>
  </si>
  <si>
    <t>D00281</t>
  </si>
  <si>
    <t>D00475</t>
  </si>
  <si>
    <t>D00084</t>
  </si>
  <si>
    <t>Pernamanca 3" x 2" 4 m - madeira branca</t>
  </si>
  <si>
    <t>CARPINTEIRO COM ENCARGOS COMPLEMENTARES</t>
  </si>
  <si>
    <t>280013</t>
  </si>
  <si>
    <t>Lona com plotagem de gráfica</t>
  </si>
  <si>
    <t>DZ</t>
  </si>
  <si>
    <t>KG</t>
  </si>
  <si>
    <t>Prego 1 1/2"x13</t>
  </si>
  <si>
    <t>SINAPI-I</t>
  </si>
  <si>
    <t>370</t>
  </si>
  <si>
    <t>AREIA MEDIA - POSTO JAZIDA/FORNECEDOR (RETIRADO NA JAZIDA, SEM TRANSPORTE)</t>
  </si>
  <si>
    <t xml:space="preserve">M3    </t>
  </si>
  <si>
    <t>712</t>
  </si>
  <si>
    <t>BLOQUETE/PISO INTERTRAVADO DE CONCRETO - MODELO SEXTAVADO / HEXAGONAL, 25 CM X 25 CM, E = 8 CM, RESISTENCIA DE 35 MPA (NBR 9781), COR NATURAL</t>
  </si>
  <si>
    <t xml:space="preserve">M2    </t>
  </si>
  <si>
    <t>4741</t>
  </si>
  <si>
    <t>PO DE PEDRA (POSTO PEDREIRA/FORNECEDOR, SEM FRETE)</t>
  </si>
  <si>
    <t>88260</t>
  </si>
  <si>
    <t>CALCETEIRO COM ENCARGOS COMPLEMENTARES</t>
  </si>
  <si>
    <t>88316</t>
  </si>
  <si>
    <t>91277</t>
  </si>
  <si>
    <t>PLACA VIBRATÓRIA REVERSÍVEL COM MOTOR 4 TEMPOS A GASOLINA, FORÇA CENTRÍFUGA DE 25 KN (2500 KGF), POTÊNCIA 5,5 CV - CHP DIURNO. AF_08/2015</t>
  </si>
  <si>
    <t>CHP</t>
  </si>
  <si>
    <t>91278</t>
  </si>
  <si>
    <t>PLACA VIBRATÓRIA REVERSÍVEL COM MOTOR 4 TEMPOS A GASOLINA, FORÇA CENTRÍFUGA DE 25 KN (2500 KGF), POTÊNCIA 5,5 CV - CHI DIURNO. AF_08/2015</t>
  </si>
  <si>
    <t>CHI</t>
  </si>
  <si>
    <t>91283</t>
  </si>
  <si>
    <t>CORTADORA DE PISO COM MOTOR 4 TEMPOS A GASOLINA, POTÊNCIA DE 13 HP, COM DISCO DE CORTE DIAMANTADO SEGMENTADO PARA CONCRETO, DIÂMETRO DE 350 MM, FURO DE 1" (14 X 1") - CHP DIURNO. AF_08/2015</t>
  </si>
  <si>
    <t>91285</t>
  </si>
  <si>
    <t>CORTADORA DE PISO COM MOTOR 4 TEMPOS A GASOLINA, POTÊNCIA DE 13 HP, COM DISCO DE CORTE DIAMANTADO SEGMENTADO PARA CONCRETO, DIÂMETRO DE 350 MM, FURO DE 1" (14 X 1") - CHI DIURNO. AF_08/2015</t>
  </si>
  <si>
    <t>PAVIMENTAÇÃO DE VIAS COM BLOCO DE CONCRETO INTERTRAVADO</t>
  </si>
  <si>
    <t>Prazo de execução 06 meses</t>
  </si>
  <si>
    <t>4º ETAPA</t>
  </si>
  <si>
    <t>5º ETAPA</t>
  </si>
  <si>
    <t>6º ETAPA</t>
  </si>
</sst>
</file>

<file path=xl/styles.xml><?xml version="1.0" encoding="utf-8"?>
<styleSheet xmlns="http://schemas.openxmlformats.org/spreadsheetml/2006/main">
  <numFmts count="4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.000_);_(* \(#,##0.000\);_(* &quot;-&quot;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0.0%"/>
    <numFmt numFmtId="184" formatCode="_(* #,##0.0000_);_(* \(#,##0.0000\);_(* &quot;-&quot;??_);_(@_)"/>
    <numFmt numFmtId="185" formatCode="_(* #,##0.00000_);_(* \(#,##0.00000\);_(* &quot;-&quot;??_);_(@_)"/>
    <numFmt numFmtId="186" formatCode="&quot;Ativado&quot;;&quot;Ativado&quot;;&quot;Desativado&quot;"/>
    <numFmt numFmtId="187" formatCode="[$-416]dddd\,\ d&quot; de &quot;mmmm&quot; de &quot;yyyy"/>
    <numFmt numFmtId="188" formatCode="[$-F800]dddd\,\ mmmm\ dd\,\ yyyy"/>
    <numFmt numFmtId="189" formatCode="0.0000"/>
    <numFmt numFmtId="190" formatCode="_(&quot;R$&quot;* #,##0.00_);_(&quot;R$&quot;* \(#,##0.00\);_(&quot;R$&quot;* &quot;-&quot;??_);_(@_)"/>
    <numFmt numFmtId="191" formatCode="#,##0.00_ ;[Red]\-#,##0.00\ "/>
    <numFmt numFmtId="192" formatCode="0.0"/>
    <numFmt numFmtId="193" formatCode="_-* #,##0.000_-;\-* #,##0.000_-;_-* &quot;-&quot;??_-;_-@_-"/>
    <numFmt numFmtId="194" formatCode="_-* #,##0.0000_-;\-* #,##0.0000_-;_-* &quot;-&quot;??_-;_-@_-"/>
    <numFmt numFmtId="195" formatCode="_-* #,##0.00000_-;\-* #,##0.00000_-;_-* &quot;-&quot;??_-;_-@_-"/>
    <numFmt numFmtId="196" formatCode="_-* #,##0.000000_-;\-* #,##0.000000_-;_-* &quot;-&quot;??_-;_-@_-"/>
    <numFmt numFmtId="197" formatCode="_-* #,##0.0000000_-;\-* #,##0.0000000_-;_-* &quot;-&quot;??_-;_-@_-"/>
    <numFmt numFmtId="198" formatCode="_-* #,##0.00000000_-;\-* #,##0.00000000_-;_-* &quot;-&quot;??_-;_-@_-"/>
    <numFmt numFmtId="199" formatCode="_-* #,##0.000000000_-;\-* #,##0.000000000_-;_-* &quot;-&quot;??_-;_-@_-"/>
  </numFmts>
  <fonts count="87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sz val="11"/>
      <name val="Arial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3"/>
      <color indexed="12"/>
      <name val="Arial"/>
      <family val="2"/>
    </font>
    <font>
      <u val="single"/>
      <sz val="13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 Narrow"/>
      <family val="2"/>
    </font>
    <font>
      <sz val="9"/>
      <color indexed="8"/>
      <name val="Arial Narrow"/>
      <family val="2"/>
    </font>
    <font>
      <b/>
      <sz val="10"/>
      <color indexed="56"/>
      <name val="Calibri"/>
      <family val="2"/>
    </font>
    <font>
      <sz val="10"/>
      <color indexed="56"/>
      <name val="Calibri"/>
      <family val="2"/>
    </font>
    <font>
      <b/>
      <sz val="12"/>
      <color indexed="56"/>
      <name val="Calibri"/>
      <family val="2"/>
    </font>
    <font>
      <b/>
      <sz val="12"/>
      <color indexed="8"/>
      <name val="Calibri"/>
      <family val="2"/>
    </font>
    <font>
      <b/>
      <sz val="9"/>
      <color indexed="9"/>
      <name val="Calibri"/>
      <family val="2"/>
    </font>
    <font>
      <sz val="12"/>
      <color indexed="56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color indexed="10"/>
      <name val="Calibri"/>
      <family val="2"/>
    </font>
    <font>
      <sz val="12"/>
      <color indexed="8"/>
      <name val="Calibri"/>
      <family val="2"/>
    </font>
    <font>
      <b/>
      <sz val="9"/>
      <color indexed="8"/>
      <name val="Arial Narrow"/>
      <family val="2"/>
    </font>
    <font>
      <b/>
      <sz val="8"/>
      <color indexed="9"/>
      <name val="Calibri"/>
      <family val="2"/>
    </font>
    <font>
      <b/>
      <sz val="14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3"/>
      <color theme="10"/>
      <name val="Arial"/>
      <family val="2"/>
    </font>
    <font>
      <u val="single"/>
      <sz val="13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 Narrow"/>
      <family val="2"/>
    </font>
    <font>
      <sz val="9"/>
      <color theme="1"/>
      <name val="Arial Narrow"/>
      <family val="2"/>
    </font>
    <font>
      <b/>
      <sz val="10"/>
      <color rgb="FF002060"/>
      <name val="Calibri"/>
      <family val="2"/>
    </font>
    <font>
      <sz val="10"/>
      <color rgb="FF002060"/>
      <name val="Calibri"/>
      <family val="2"/>
    </font>
    <font>
      <b/>
      <sz val="12"/>
      <color rgb="FF004694"/>
      <name val="Calibri"/>
      <family val="2"/>
    </font>
    <font>
      <b/>
      <sz val="12"/>
      <color theme="1"/>
      <name val="Calibri"/>
      <family val="2"/>
    </font>
    <font>
      <b/>
      <sz val="12"/>
      <color rgb="FF003366"/>
      <name val="Calibri"/>
      <family val="2"/>
    </font>
    <font>
      <b/>
      <sz val="9"/>
      <color theme="0"/>
      <name val="Calibri"/>
      <family val="2"/>
    </font>
    <font>
      <sz val="12"/>
      <color rgb="FF003366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9"/>
      <color rgb="FFFF0000"/>
      <name val="Calibri"/>
      <family val="2"/>
    </font>
    <font>
      <sz val="12"/>
      <color theme="1"/>
      <name val="Calibri"/>
      <family val="2"/>
    </font>
    <font>
      <b/>
      <sz val="9"/>
      <color theme="1"/>
      <name val="Arial Narrow"/>
      <family val="2"/>
    </font>
    <font>
      <b/>
      <sz val="11"/>
      <color rgb="FF002060"/>
      <name val="Calibri"/>
      <family val="2"/>
    </font>
    <font>
      <b/>
      <sz val="14"/>
      <color theme="1"/>
      <name val="Calibri"/>
      <family val="2"/>
    </font>
    <font>
      <b/>
      <sz val="8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4694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medium"/>
      <right/>
      <top style="medium"/>
      <bottom style="medium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/>
      <bottom style="thin"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/>
      <right style="thin"/>
      <top/>
      <bottom style="medium"/>
    </border>
    <border>
      <left/>
      <right style="medium"/>
      <top style="thin"/>
      <bottom/>
    </border>
    <border>
      <left style="thin"/>
      <right style="thin"/>
      <top/>
      <bottom style="medium"/>
    </border>
    <border>
      <left/>
      <right/>
      <top style="medium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6" fillId="2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175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37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177" fontId="2" fillId="0" borderId="0" xfId="71" applyFont="1" applyBorder="1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43" fontId="2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177" fontId="0" fillId="0" borderId="0" xfId="71" applyFont="1" applyBorder="1" applyAlignment="1">
      <alignment/>
    </xf>
    <xf numFmtId="177" fontId="3" fillId="0" borderId="0" xfId="7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43" fontId="70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4" fontId="7" fillId="0" borderId="11" xfId="0" applyNumberFormat="1" applyFont="1" applyBorder="1" applyAlignment="1">
      <alignment horizontal="center" vertical="center"/>
    </xf>
    <xf numFmtId="177" fontId="7" fillId="0" borderId="12" xfId="71" applyFont="1" applyFill="1" applyBorder="1" applyAlignment="1">
      <alignment horizontal="right" vertical="center"/>
    </xf>
    <xf numFmtId="177" fontId="7" fillId="0" borderId="13" xfId="71" applyFont="1" applyFill="1" applyBorder="1" applyAlignment="1">
      <alignment vertical="center"/>
    </xf>
    <xf numFmtId="177" fontId="7" fillId="0" borderId="11" xfId="71" applyFont="1" applyFill="1" applyBorder="1" applyAlignment="1">
      <alignment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right" vertical="justify"/>
    </xf>
    <xf numFmtId="43" fontId="6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right" wrapText="1"/>
    </xf>
    <xf numFmtId="43" fontId="71" fillId="0" borderId="16" xfId="71" applyNumberFormat="1" applyFont="1" applyBorder="1" applyAlignment="1">
      <alignment vertical="center"/>
    </xf>
    <xf numFmtId="43" fontId="71" fillId="0" borderId="0" xfId="71" applyNumberFormat="1" applyFont="1" applyBorder="1" applyAlignment="1">
      <alignment vertical="center"/>
    </xf>
    <xf numFmtId="177" fontId="8" fillId="0" borderId="17" xfId="71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43" fontId="8" fillId="0" borderId="0" xfId="0" applyNumberFormat="1" applyFont="1" applyBorder="1" applyAlignment="1">
      <alignment vertical="center"/>
    </xf>
    <xf numFmtId="177" fontId="8" fillId="0" borderId="0" xfId="71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left" vertical="center"/>
    </xf>
    <xf numFmtId="14" fontId="8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" fontId="8" fillId="33" borderId="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8" fillId="10" borderId="18" xfId="0" applyFont="1" applyFill="1" applyBorder="1" applyAlignment="1">
      <alignment vertical="center"/>
    </xf>
    <xf numFmtId="0" fontId="8" fillId="10" borderId="19" xfId="0" applyFont="1" applyFill="1" applyBorder="1" applyAlignment="1">
      <alignment vertical="center"/>
    </xf>
    <xf numFmtId="0" fontId="3" fillId="10" borderId="18" xfId="0" applyFont="1" applyFill="1" applyBorder="1" applyAlignment="1">
      <alignment vertical="center"/>
    </xf>
    <xf numFmtId="0" fontId="3" fillId="10" borderId="19" xfId="0" applyFont="1" applyFill="1" applyBorder="1" applyAlignment="1">
      <alignment vertical="center"/>
    </xf>
    <xf numFmtId="4" fontId="10" fillId="0" borderId="20" xfId="0" applyNumberFormat="1" applyFont="1" applyBorder="1" applyAlignment="1">
      <alignment vertical="center"/>
    </xf>
    <xf numFmtId="0" fontId="10" fillId="34" borderId="21" xfId="0" applyFont="1" applyFill="1" applyBorder="1" applyAlignment="1">
      <alignment vertical="center"/>
    </xf>
    <xf numFmtId="0" fontId="7" fillId="0" borderId="0" xfId="0" applyFont="1" applyAlignment="1">
      <alignment/>
    </xf>
    <xf numFmtId="177" fontId="2" fillId="0" borderId="0" xfId="71" applyFont="1" applyAlignment="1">
      <alignment/>
    </xf>
    <xf numFmtId="177" fontId="10" fillId="0" borderId="0" xfId="0" applyNumberFormat="1" applyFont="1" applyAlignment="1">
      <alignment/>
    </xf>
    <xf numFmtId="9" fontId="10" fillId="0" borderId="21" xfId="60" applyFont="1" applyBorder="1" applyAlignment="1">
      <alignment vertical="center"/>
    </xf>
    <xf numFmtId="176" fontId="10" fillId="0" borderId="22" xfId="47" applyFont="1" applyBorder="1" applyAlignment="1">
      <alignment vertical="center"/>
    </xf>
    <xf numFmtId="0" fontId="8" fillId="4" borderId="23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2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0" xfId="0" applyFill="1" applyAlignment="1">
      <alignment/>
    </xf>
    <xf numFmtId="0" fontId="72" fillId="33" borderId="0" xfId="0" applyFont="1" applyFill="1" applyAlignment="1">
      <alignment vertical="center"/>
    </xf>
    <xf numFmtId="0" fontId="0" fillId="33" borderId="21" xfId="0" applyFill="1" applyBorder="1" applyAlignment="1">
      <alignment/>
    </xf>
    <xf numFmtId="0" fontId="0" fillId="33" borderId="26" xfId="0" applyFill="1" applyBorder="1" applyAlignment="1">
      <alignment vertical="center"/>
    </xf>
    <xf numFmtId="0" fontId="72" fillId="33" borderId="0" xfId="0" applyFont="1" applyFill="1" applyAlignment="1">
      <alignment horizontal="right" vertical="center"/>
    </xf>
    <xf numFmtId="0" fontId="0" fillId="33" borderId="0" xfId="0" applyFill="1" applyAlignment="1">
      <alignment horizontal="center" vertical="center"/>
    </xf>
    <xf numFmtId="17" fontId="73" fillId="33" borderId="0" xfId="0" applyNumberFormat="1" applyFont="1" applyFill="1" applyAlignment="1">
      <alignment horizontal="center" vertical="center"/>
    </xf>
    <xf numFmtId="0" fontId="0" fillId="33" borderId="21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6" xfId="0" applyBorder="1" applyAlignment="1">
      <alignment/>
    </xf>
    <xf numFmtId="0" fontId="0" fillId="0" borderId="21" xfId="0" applyBorder="1" applyAlignment="1">
      <alignment/>
    </xf>
    <xf numFmtId="0" fontId="54" fillId="35" borderId="27" xfId="0" applyFont="1" applyFill="1" applyBorder="1" applyAlignment="1">
      <alignment vertical="center"/>
    </xf>
    <xf numFmtId="0" fontId="54" fillId="35" borderId="27" xfId="0" applyFont="1" applyFill="1" applyBorder="1" applyAlignment="1">
      <alignment horizontal="center" vertical="center"/>
    </xf>
    <xf numFmtId="0" fontId="74" fillId="33" borderId="28" xfId="0" applyFont="1" applyFill="1" applyBorder="1" applyAlignment="1">
      <alignment horizontal="right" vertical="center"/>
    </xf>
    <xf numFmtId="0" fontId="75" fillId="33" borderId="29" xfId="0" applyFont="1" applyFill="1" applyBorder="1" applyAlignment="1">
      <alignment vertical="center"/>
    </xf>
    <xf numFmtId="10" fontId="75" fillId="33" borderId="29" xfId="60" applyNumberFormat="1" applyFont="1" applyFill="1" applyBorder="1" applyAlignment="1">
      <alignment horizontal="center" vertical="center" wrapText="1"/>
    </xf>
    <xf numFmtId="0" fontId="76" fillId="33" borderId="0" xfId="0" applyFont="1" applyFill="1" applyAlignment="1">
      <alignment vertical="center"/>
    </xf>
    <xf numFmtId="0" fontId="76" fillId="33" borderId="0" xfId="0" applyFont="1" applyFill="1" applyAlignment="1">
      <alignment vertical="center" wrapText="1"/>
    </xf>
    <xf numFmtId="0" fontId="76" fillId="33" borderId="0" xfId="71" applyNumberFormat="1" applyFont="1" applyFill="1" applyBorder="1" applyAlignment="1">
      <alignment horizontal="center" vertical="center" wrapText="1"/>
    </xf>
    <xf numFmtId="43" fontId="76" fillId="33" borderId="0" xfId="0" applyNumberFormat="1" applyFont="1" applyFill="1" applyAlignment="1">
      <alignment horizontal="center"/>
    </xf>
    <xf numFmtId="10" fontId="76" fillId="33" borderId="0" xfId="60" applyNumberFormat="1" applyFont="1" applyFill="1" applyBorder="1" applyAlignment="1">
      <alignment vertical="center" wrapText="1"/>
    </xf>
    <xf numFmtId="0" fontId="77" fillId="36" borderId="30" xfId="55" applyFont="1" applyFill="1" applyBorder="1" applyAlignment="1" applyProtection="1">
      <alignment horizontal="center" vertical="center"/>
      <protection hidden="1"/>
    </xf>
    <xf numFmtId="177" fontId="77" fillId="36" borderId="31" xfId="71" applyFont="1" applyFill="1" applyBorder="1" applyAlignment="1">
      <alignment horizontal="center" vertical="center"/>
    </xf>
    <xf numFmtId="10" fontId="77" fillId="36" borderId="31" xfId="60" applyNumberFormat="1" applyFont="1" applyFill="1" applyBorder="1" applyAlignment="1">
      <alignment horizontal="center" vertical="center"/>
    </xf>
    <xf numFmtId="0" fontId="78" fillId="33" borderId="0" xfId="0" applyFont="1" applyFill="1" applyAlignment="1">
      <alignment vertical="center"/>
    </xf>
    <xf numFmtId="0" fontId="78" fillId="33" borderId="0" xfId="0" applyFont="1" applyFill="1" applyAlignment="1">
      <alignment vertical="center" wrapText="1"/>
    </xf>
    <xf numFmtId="0" fontId="78" fillId="33" borderId="0" xfId="71" applyNumberFormat="1" applyFont="1" applyFill="1" applyBorder="1" applyAlignment="1">
      <alignment horizontal="center" vertical="center" wrapText="1"/>
    </xf>
    <xf numFmtId="43" fontId="78" fillId="33" borderId="0" xfId="0" applyNumberFormat="1" applyFont="1" applyFill="1" applyAlignment="1">
      <alignment horizontal="center"/>
    </xf>
    <xf numFmtId="10" fontId="78" fillId="33" borderId="0" xfId="60" applyNumberFormat="1" applyFont="1" applyFill="1" applyBorder="1" applyAlignment="1">
      <alignment vertical="center" wrapText="1"/>
    </xf>
    <xf numFmtId="0" fontId="40" fillId="37" borderId="11" xfId="55" applyFont="1" applyFill="1" applyBorder="1" applyAlignment="1" applyProtection="1">
      <alignment horizontal="center" vertical="center"/>
      <protection hidden="1"/>
    </xf>
    <xf numFmtId="0" fontId="40" fillId="37" borderId="11" xfId="55" applyFont="1" applyFill="1" applyBorder="1" applyAlignment="1" applyProtection="1">
      <alignment horizontal="left" vertical="center"/>
      <protection hidden="1"/>
    </xf>
    <xf numFmtId="176" fontId="79" fillId="37" borderId="11" xfId="47" applyFont="1" applyFill="1" applyBorder="1" applyAlignment="1">
      <alignment vertical="center"/>
    </xf>
    <xf numFmtId="10" fontId="79" fillId="38" borderId="11" xfId="60" applyNumberFormat="1" applyFont="1" applyFill="1" applyBorder="1" applyAlignment="1">
      <alignment vertical="center"/>
    </xf>
    <xf numFmtId="10" fontId="79" fillId="38" borderId="12" xfId="60" applyNumberFormat="1" applyFont="1" applyFill="1" applyBorder="1" applyAlignment="1">
      <alignment vertical="center"/>
    </xf>
    <xf numFmtId="0" fontId="79" fillId="37" borderId="11" xfId="60" applyNumberFormat="1" applyFont="1" applyFill="1" applyBorder="1" applyAlignment="1">
      <alignment horizontal="center" vertical="center"/>
    </xf>
    <xf numFmtId="10" fontId="40" fillId="37" borderId="11" xfId="71" applyNumberFormat="1" applyFont="1" applyFill="1" applyBorder="1" applyAlignment="1" applyProtection="1">
      <alignment horizontal="center" vertical="center"/>
      <protection hidden="1"/>
    </xf>
    <xf numFmtId="0" fontId="78" fillId="33" borderId="29" xfId="0" applyFont="1" applyFill="1" applyBorder="1" applyAlignment="1">
      <alignment vertical="center"/>
    </xf>
    <xf numFmtId="10" fontId="78" fillId="33" borderId="29" xfId="60" applyNumberFormat="1" applyFont="1" applyFill="1" applyBorder="1" applyAlignment="1">
      <alignment horizontal="center" vertical="center" wrapText="1"/>
    </xf>
    <xf numFmtId="10" fontId="40" fillId="37" borderId="12" xfId="71" applyNumberFormat="1" applyFont="1" applyFill="1" applyBorder="1" applyAlignment="1" applyProtection="1">
      <alignment horizontal="right" vertical="center"/>
      <protection hidden="1"/>
    </xf>
    <xf numFmtId="2" fontId="42" fillId="33" borderId="24" xfId="55" applyNumberFormat="1" applyFont="1" applyFill="1" applyBorder="1" applyAlignment="1" applyProtection="1">
      <alignment vertical="center"/>
      <protection hidden="1"/>
    </xf>
    <xf numFmtId="10" fontId="40" fillId="33" borderId="16" xfId="60" applyNumberFormat="1" applyFont="1" applyFill="1" applyBorder="1" applyAlignment="1" applyProtection="1">
      <alignment horizontal="center" vertical="center"/>
      <protection hidden="1"/>
    </xf>
    <xf numFmtId="10" fontId="40" fillId="33" borderId="25" xfId="60" applyNumberFormat="1" applyFont="1" applyFill="1" applyBorder="1" applyAlignment="1" applyProtection="1">
      <alignment horizontal="center" vertical="center"/>
      <protection hidden="1"/>
    </xf>
    <xf numFmtId="0" fontId="42" fillId="33" borderId="11" xfId="55" applyFont="1" applyFill="1" applyBorder="1" applyAlignment="1" applyProtection="1">
      <alignment horizontal="center" vertical="center"/>
      <protection hidden="1"/>
    </xf>
    <xf numFmtId="10" fontId="79" fillId="38" borderId="32" xfId="60" applyNumberFormat="1" applyFont="1" applyFill="1" applyBorder="1" applyAlignment="1">
      <alignment vertical="center"/>
    </xf>
    <xf numFmtId="2" fontId="42" fillId="33" borderId="26" xfId="55" applyNumberFormat="1" applyFont="1" applyFill="1" applyBorder="1" applyAlignment="1" applyProtection="1">
      <alignment vertical="center"/>
      <protection hidden="1"/>
    </xf>
    <xf numFmtId="10" fontId="42" fillId="33" borderId="0" xfId="55" applyNumberFormat="1" applyFont="1" applyFill="1" applyAlignment="1" applyProtection="1">
      <alignment horizontal="left" vertical="center"/>
      <protection hidden="1"/>
    </xf>
    <xf numFmtId="2" fontId="42" fillId="33" borderId="21" xfId="55" applyNumberFormat="1" applyFont="1" applyFill="1" applyBorder="1" applyAlignment="1" applyProtection="1">
      <alignment vertical="center"/>
      <protection hidden="1"/>
    </xf>
    <xf numFmtId="10" fontId="42" fillId="33" borderId="11" xfId="55" applyNumberFormat="1" applyFont="1" applyFill="1" applyBorder="1" applyAlignment="1" applyProtection="1">
      <alignment horizontal="left" vertical="center"/>
      <protection hidden="1"/>
    </xf>
    <xf numFmtId="2" fontId="42" fillId="33" borderId="20" xfId="55" applyNumberFormat="1" applyFont="1" applyFill="1" applyBorder="1" applyAlignment="1" applyProtection="1">
      <alignment vertical="center"/>
      <protection hidden="1"/>
    </xf>
    <xf numFmtId="10" fontId="42" fillId="33" borderId="29" xfId="55" applyNumberFormat="1" applyFont="1" applyFill="1" applyBorder="1" applyAlignment="1" applyProtection="1">
      <alignment horizontal="left" vertical="center"/>
      <protection hidden="1"/>
    </xf>
    <xf numFmtId="2" fontId="42" fillId="33" borderId="22" xfId="55" applyNumberFormat="1" applyFont="1" applyFill="1" applyBorder="1" applyAlignment="1" applyProtection="1">
      <alignment vertical="center"/>
      <protection hidden="1"/>
    </xf>
    <xf numFmtId="0" fontId="42" fillId="0" borderId="31" xfId="55" applyFont="1" applyBorder="1" applyAlignment="1" applyProtection="1">
      <alignment horizontal="center" vertical="center"/>
      <protection hidden="1"/>
    </xf>
    <xf numFmtId="10" fontId="79" fillId="37" borderId="32" xfId="60" applyNumberFormat="1" applyFont="1" applyFill="1" applyBorder="1" applyAlignment="1">
      <alignment vertical="center"/>
    </xf>
    <xf numFmtId="0" fontId="40" fillId="0" borderId="11" xfId="55" applyFont="1" applyBorder="1" applyAlignment="1" applyProtection="1">
      <alignment vertical="center"/>
      <protection hidden="1"/>
    </xf>
    <xf numFmtId="176" fontId="40" fillId="37" borderId="14" xfId="47" applyFont="1" applyFill="1" applyBorder="1" applyAlignment="1" applyProtection="1">
      <alignment vertical="center"/>
      <protection hidden="1"/>
    </xf>
    <xf numFmtId="0" fontId="40" fillId="37" borderId="33" xfId="55" applyFont="1" applyFill="1" applyBorder="1" applyAlignment="1" applyProtection="1">
      <alignment vertical="center"/>
      <protection hidden="1"/>
    </xf>
    <xf numFmtId="44" fontId="40" fillId="37" borderId="33" xfId="55" applyNumberFormat="1" applyFont="1" applyFill="1" applyBorder="1" applyAlignment="1" applyProtection="1">
      <alignment vertical="center"/>
      <protection hidden="1"/>
    </xf>
    <xf numFmtId="169" fontId="40" fillId="37" borderId="14" xfId="55" applyNumberFormat="1" applyFont="1" applyFill="1" applyBorder="1" applyAlignment="1" applyProtection="1">
      <alignment horizontal="left" vertical="center"/>
      <protection hidden="1"/>
    </xf>
    <xf numFmtId="0" fontId="40" fillId="37" borderId="16" xfId="55" applyFont="1" applyFill="1" applyBorder="1" applyAlignment="1" applyProtection="1">
      <alignment horizontal="left" vertical="center"/>
      <protection hidden="1"/>
    </xf>
    <xf numFmtId="44" fontId="40" fillId="37" borderId="33" xfId="55" applyNumberFormat="1" applyFont="1" applyFill="1" applyBorder="1" applyAlignment="1" applyProtection="1">
      <alignment horizontal="left" vertical="center"/>
      <protection hidden="1"/>
    </xf>
    <xf numFmtId="0" fontId="79" fillId="7" borderId="12" xfId="60" applyNumberFormat="1" applyFont="1" applyFill="1" applyBorder="1" applyAlignment="1">
      <alignment horizontal="center" vertical="center"/>
    </xf>
    <xf numFmtId="10" fontId="40" fillId="7" borderId="12" xfId="71" applyNumberFormat="1" applyFont="1" applyFill="1" applyBorder="1" applyAlignment="1" applyProtection="1">
      <alignment horizontal="center" vertical="center"/>
      <protection hidden="1"/>
    </xf>
    <xf numFmtId="0" fontId="80" fillId="0" borderId="0" xfId="0" applyFont="1" applyAlignment="1">
      <alignment vertical="center"/>
    </xf>
    <xf numFmtId="10" fontId="79" fillId="19" borderId="11" xfId="60" applyNumberFormat="1" applyFont="1" applyFill="1" applyBorder="1" applyAlignment="1">
      <alignment vertical="center"/>
    </xf>
    <xf numFmtId="0" fontId="81" fillId="19" borderId="12" xfId="60" applyNumberFormat="1" applyFont="1" applyFill="1" applyBorder="1" applyAlignment="1">
      <alignment horizontal="center" vertical="center"/>
    </xf>
    <xf numFmtId="0" fontId="79" fillId="19" borderId="12" xfId="60" applyNumberFormat="1" applyFont="1" applyFill="1" applyBorder="1" applyAlignment="1">
      <alignment horizontal="center" vertical="center"/>
    </xf>
    <xf numFmtId="10" fontId="40" fillId="19" borderId="12" xfId="71" applyNumberFormat="1" applyFont="1" applyFill="1" applyBorder="1" applyAlignment="1" applyProtection="1">
      <alignment horizontal="center" vertical="center"/>
      <protection hidden="1"/>
    </xf>
    <xf numFmtId="10" fontId="54" fillId="35" borderId="27" xfId="60" applyNumberFormat="1" applyFont="1" applyFill="1" applyBorder="1" applyAlignment="1">
      <alignment horizontal="center" vertical="center"/>
    </xf>
    <xf numFmtId="0" fontId="69" fillId="33" borderId="0" xfId="0" applyFon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0" fillId="33" borderId="0" xfId="0" applyFill="1" applyAlignment="1">
      <alignment horizontal="left" vertical="center"/>
    </xf>
    <xf numFmtId="0" fontId="82" fillId="33" borderId="0" xfId="0" applyFont="1" applyFill="1" applyAlignment="1">
      <alignment vertical="center"/>
    </xf>
    <xf numFmtId="0" fontId="75" fillId="33" borderId="0" xfId="0" applyFont="1" applyFill="1" applyAlignment="1">
      <alignment vertical="center"/>
    </xf>
    <xf numFmtId="0" fontId="82" fillId="33" borderId="0" xfId="0" applyFont="1" applyFill="1" applyAlignment="1">
      <alignment horizontal="right" vertical="center"/>
    </xf>
    <xf numFmtId="0" fontId="82" fillId="33" borderId="0" xfId="0" applyFont="1" applyFill="1" applyAlignment="1">
      <alignment horizontal="left" vertical="center"/>
    </xf>
    <xf numFmtId="0" fontId="82" fillId="33" borderId="0" xfId="0" applyFont="1" applyFill="1" applyAlignment="1">
      <alignment vertical="top"/>
    </xf>
    <xf numFmtId="0" fontId="75" fillId="33" borderId="0" xfId="0" applyFont="1" applyFill="1" applyAlignment="1">
      <alignment vertical="top"/>
    </xf>
    <xf numFmtId="0" fontId="82" fillId="33" borderId="0" xfId="0" applyFont="1" applyFill="1" applyAlignment="1">
      <alignment horizontal="right" vertical="top"/>
    </xf>
    <xf numFmtId="0" fontId="82" fillId="33" borderId="0" xfId="0" applyFont="1" applyFill="1" applyAlignment="1">
      <alignment horizontal="left" vertical="top"/>
    </xf>
    <xf numFmtId="0" fontId="0" fillId="0" borderId="20" xfId="0" applyBorder="1" applyAlignment="1">
      <alignment/>
    </xf>
    <xf numFmtId="0" fontId="0" fillId="0" borderId="29" xfId="0" applyBorder="1" applyAlignment="1">
      <alignment/>
    </xf>
    <xf numFmtId="0" fontId="0" fillId="0" borderId="22" xfId="0" applyBorder="1" applyAlignment="1">
      <alignment/>
    </xf>
    <xf numFmtId="184" fontId="2" fillId="0" borderId="0" xfId="71" applyNumberFormat="1" applyFont="1" applyBorder="1" applyAlignment="1">
      <alignment vertical="center"/>
    </xf>
    <xf numFmtId="176" fontId="7" fillId="0" borderId="12" xfId="47" applyFont="1" applyFill="1" applyBorder="1" applyAlignment="1">
      <alignment vertical="center"/>
    </xf>
    <xf numFmtId="176" fontId="7" fillId="0" borderId="12" xfId="47" applyFont="1" applyFill="1" applyBorder="1" applyAlignment="1">
      <alignment horizontal="right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88" fontId="7" fillId="0" borderId="0" xfId="0" applyNumberFormat="1" applyFont="1" applyBorder="1" applyAlignment="1">
      <alignment horizontal="left" vertical="center"/>
    </xf>
    <xf numFmtId="0" fontId="8" fillId="10" borderId="34" xfId="0" applyFont="1" applyFill="1" applyBorder="1" applyAlignment="1">
      <alignment vertical="center"/>
    </xf>
    <xf numFmtId="0" fontId="3" fillId="10" borderId="35" xfId="0" applyFont="1" applyFill="1" applyBorder="1" applyAlignment="1">
      <alignment vertical="center"/>
    </xf>
    <xf numFmtId="188" fontId="2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0" fillId="0" borderId="30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39" borderId="30" xfId="0" applyFont="1" applyFill="1" applyBorder="1" applyAlignment="1">
      <alignment vertical="center"/>
    </xf>
    <xf numFmtId="0" fontId="10" fillId="39" borderId="26" xfId="0" applyFont="1" applyFill="1" applyBorder="1" applyAlignment="1">
      <alignment vertical="center"/>
    </xf>
    <xf numFmtId="177" fontId="7" fillId="0" borderId="0" xfId="71" applyFont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43" fontId="7" fillId="0" borderId="0" xfId="0" applyNumberFormat="1" applyFont="1" applyAlignment="1">
      <alignment vertical="center"/>
    </xf>
    <xf numFmtId="2" fontId="2" fillId="0" borderId="0" xfId="0" applyNumberFormat="1" applyFont="1" applyBorder="1" applyAlignment="1">
      <alignment vertical="center"/>
    </xf>
    <xf numFmtId="0" fontId="0" fillId="0" borderId="11" xfId="56" applyFont="1" applyFill="1" applyBorder="1" applyAlignment="1">
      <alignment horizontal="center" vertical="center" wrapText="1"/>
      <protection/>
    </xf>
    <xf numFmtId="0" fontId="0" fillId="0" borderId="11" xfId="53" applyFont="1" applyFill="1" applyBorder="1" applyAlignment="1">
      <alignment horizontal="left" vertical="center" wrapText="1"/>
      <protection/>
    </xf>
    <xf numFmtId="0" fontId="0" fillId="0" borderId="11" xfId="56" applyNumberFormat="1" applyFont="1" applyFill="1" applyBorder="1" applyAlignment="1">
      <alignment horizontal="center" vertical="center"/>
      <protection/>
    </xf>
    <xf numFmtId="189" fontId="0" fillId="0" borderId="11" xfId="56" applyNumberFormat="1" applyFont="1" applyFill="1" applyBorder="1" applyAlignment="1">
      <alignment horizontal="center" vertical="center" wrapText="1"/>
      <protection/>
    </xf>
    <xf numFmtId="190" fontId="0" fillId="0" borderId="11" xfId="49" applyFont="1" applyFill="1" applyBorder="1" applyAlignment="1">
      <alignment horizontal="center" vertical="center" wrapText="1"/>
    </xf>
    <xf numFmtId="190" fontId="0" fillId="0" borderId="11" xfId="49" applyFont="1" applyFill="1" applyBorder="1" applyAlignment="1">
      <alignment horizontal="center" vertical="center"/>
    </xf>
    <xf numFmtId="0" fontId="11" fillId="33" borderId="0" xfId="56" applyFont="1" applyFill="1" applyBorder="1" applyAlignment="1">
      <alignment horizontal="center" vertical="center" wrapText="1"/>
      <protection/>
    </xf>
    <xf numFmtId="0" fontId="11" fillId="0" borderId="0" xfId="53" applyFont="1" applyBorder="1" applyAlignment="1">
      <alignment horizontal="left" vertical="center" wrapText="1"/>
      <protection/>
    </xf>
    <xf numFmtId="190" fontId="11" fillId="0" borderId="0" xfId="50" applyFont="1" applyFill="1" applyBorder="1" applyAlignment="1">
      <alignment horizontal="center" vertical="center" wrapText="1"/>
    </xf>
    <xf numFmtId="190" fontId="11" fillId="33" borderId="0" xfId="50" applyFont="1" applyFill="1" applyBorder="1" applyAlignment="1">
      <alignment horizontal="center" vertical="center"/>
    </xf>
    <xf numFmtId="0" fontId="5" fillId="0" borderId="11" xfId="52" applyFont="1" applyFill="1" applyBorder="1" applyAlignment="1">
      <alignment horizontal="center" vertical="center"/>
      <protection/>
    </xf>
    <xf numFmtId="0" fontId="5" fillId="10" borderId="11" xfId="56" applyFont="1" applyFill="1" applyBorder="1" applyAlignment="1">
      <alignment horizontal="center" vertical="center"/>
      <protection/>
    </xf>
    <xf numFmtId="0" fontId="5" fillId="10" borderId="11" xfId="56" applyNumberFormat="1" applyFont="1" applyFill="1" applyBorder="1" applyAlignment="1">
      <alignment horizontal="center" vertical="center"/>
      <protection/>
    </xf>
    <xf numFmtId="189" fontId="5" fillId="10" borderId="11" xfId="56" applyNumberFormat="1" applyFont="1" applyFill="1" applyBorder="1" applyAlignment="1">
      <alignment horizontal="center" vertical="center"/>
      <protection/>
    </xf>
    <xf numFmtId="167" fontId="5" fillId="10" borderId="11" xfId="56" applyNumberFormat="1" applyFont="1" applyFill="1" applyBorder="1" applyAlignment="1">
      <alignment horizontal="center" vertical="center"/>
      <protection/>
    </xf>
    <xf numFmtId="190" fontId="4" fillId="10" borderId="11" xfId="49" applyFont="1" applyFill="1" applyBorder="1" applyAlignment="1">
      <alignment horizontal="center" vertical="center"/>
    </xf>
    <xf numFmtId="49" fontId="5" fillId="0" borderId="11" xfId="52" applyNumberFormat="1" applyFont="1" applyFill="1" applyBorder="1" applyAlignment="1">
      <alignment horizontal="center" vertical="center"/>
      <protection/>
    </xf>
    <xf numFmtId="0" fontId="4" fillId="10" borderId="32" xfId="56" applyNumberFormat="1" applyFont="1" applyFill="1" applyBorder="1" applyAlignment="1">
      <alignment horizontal="center" vertical="center"/>
      <protection/>
    </xf>
    <xf numFmtId="49" fontId="3" fillId="0" borderId="0" xfId="0" applyNumberFormat="1" applyFont="1" applyAlignment="1">
      <alignment vertical="center"/>
    </xf>
    <xf numFmtId="49" fontId="83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5" fillId="10" borderId="11" xfId="56" applyNumberFormat="1" applyFont="1" applyFill="1" applyBorder="1" applyAlignment="1">
      <alignment horizontal="center" vertical="center"/>
      <protection/>
    </xf>
    <xf numFmtId="49" fontId="0" fillId="0" borderId="11" xfId="52" applyNumberFormat="1" applyFont="1" applyFill="1" applyBorder="1" applyAlignment="1">
      <alignment horizontal="center" vertical="center"/>
      <protection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/>
    </xf>
    <xf numFmtId="49" fontId="11" fillId="0" borderId="0" xfId="57" applyNumberFormat="1" applyFont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9" fillId="0" borderId="11" xfId="54" applyFont="1" applyBorder="1" applyAlignment="1">
      <alignment horizontal="center" vertical="center" wrapText="1"/>
      <protection/>
    </xf>
    <xf numFmtId="0" fontId="12" fillId="0" borderId="11" xfId="54" applyFont="1" applyBorder="1" applyAlignment="1">
      <alignment horizontal="left" vertical="center"/>
      <protection/>
    </xf>
    <xf numFmtId="10" fontId="12" fillId="0" borderId="11" xfId="54" applyNumberFormat="1" applyFont="1" applyBorder="1" applyAlignment="1">
      <alignment vertical="center"/>
      <protection/>
    </xf>
    <xf numFmtId="0" fontId="9" fillId="10" borderId="11" xfId="54" applyFont="1" applyFill="1" applyBorder="1" applyAlignment="1">
      <alignment horizontal="center" vertical="center"/>
      <protection/>
    </xf>
    <xf numFmtId="10" fontId="9" fillId="10" borderId="11" xfId="54" applyNumberFormat="1" applyFont="1" applyFill="1" applyBorder="1" applyAlignment="1">
      <alignment vertical="center"/>
      <protection/>
    </xf>
    <xf numFmtId="10" fontId="12" fillId="0" borderId="11" xfId="54" applyNumberFormat="1" applyFont="1" applyBorder="1" applyAlignment="1">
      <alignment horizontal="center" vertical="center"/>
      <protection/>
    </xf>
    <xf numFmtId="0" fontId="12" fillId="0" borderId="11" xfId="54" applyFont="1" applyBorder="1" applyAlignment="1">
      <alignment horizontal="left" vertical="center" wrapText="1"/>
      <protection/>
    </xf>
    <xf numFmtId="0" fontId="9" fillId="10" borderId="11" xfId="54" applyFont="1" applyFill="1" applyBorder="1" applyAlignment="1">
      <alignment vertical="center"/>
      <protection/>
    </xf>
    <xf numFmtId="0" fontId="8" fillId="25" borderId="10" xfId="0" applyFont="1" applyFill="1" applyBorder="1" applyAlignment="1">
      <alignment horizontal="center" vertical="center"/>
    </xf>
    <xf numFmtId="0" fontId="8" fillId="25" borderId="29" xfId="0" applyFont="1" applyFill="1" applyBorder="1" applyAlignment="1">
      <alignment horizontal="center" vertical="center"/>
    </xf>
    <xf numFmtId="49" fontId="8" fillId="25" borderId="14" xfId="0" applyNumberFormat="1" applyFont="1" applyFill="1" applyBorder="1" applyAlignment="1">
      <alignment horizontal="center" vertical="center"/>
    </xf>
    <xf numFmtId="0" fontId="8" fillId="25" borderId="20" xfId="0" applyFont="1" applyFill="1" applyBorder="1" applyAlignment="1">
      <alignment vertical="center"/>
    </xf>
    <xf numFmtId="0" fontId="8" fillId="25" borderId="29" xfId="0" applyFont="1" applyFill="1" applyBorder="1" applyAlignment="1">
      <alignment vertical="center"/>
    </xf>
    <xf numFmtId="176" fontId="8" fillId="25" borderId="29" xfId="47" applyFont="1" applyFill="1" applyBorder="1" applyAlignment="1">
      <alignment vertical="center"/>
    </xf>
    <xf numFmtId="176" fontId="8" fillId="25" borderId="13" xfId="47" applyFont="1" applyFill="1" applyBorder="1" applyAlignment="1">
      <alignment horizontal="right" vertical="center"/>
    </xf>
    <xf numFmtId="0" fontId="2" fillId="25" borderId="0" xfId="0" applyFont="1" applyFill="1" applyBorder="1" applyAlignment="1">
      <alignment vertical="center"/>
    </xf>
    <xf numFmtId="0" fontId="2" fillId="25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10" borderId="11" xfId="56" applyNumberFormat="1" applyFont="1" applyFill="1" applyBorder="1" applyAlignment="1">
      <alignment horizontal="center" vertical="center"/>
      <protection/>
    </xf>
    <xf numFmtId="0" fontId="8" fillId="0" borderId="18" xfId="0" applyFont="1" applyBorder="1" applyAlignment="1">
      <alignment vertical="center"/>
    </xf>
    <xf numFmtId="10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176" fontId="7" fillId="0" borderId="13" xfId="47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vertical="center"/>
    </xf>
    <xf numFmtId="0" fontId="8" fillId="10" borderId="36" xfId="0" applyFont="1" applyFill="1" applyBorder="1" applyAlignment="1">
      <alignment horizontal="center" vertical="center" wrapText="1"/>
    </xf>
    <xf numFmtId="0" fontId="8" fillId="10" borderId="37" xfId="0" applyFont="1" applyFill="1" applyBorder="1" applyAlignment="1">
      <alignment horizontal="center" vertical="center" wrapText="1"/>
    </xf>
    <xf numFmtId="0" fontId="8" fillId="10" borderId="36" xfId="0" applyFont="1" applyFill="1" applyBorder="1" applyAlignment="1">
      <alignment horizontal="center" vertical="center"/>
    </xf>
    <xf numFmtId="0" fontId="8" fillId="10" borderId="37" xfId="0" applyFont="1" applyFill="1" applyBorder="1" applyAlignment="1">
      <alignment horizontal="center" vertical="center"/>
    </xf>
    <xf numFmtId="0" fontId="8" fillId="10" borderId="38" xfId="0" applyFont="1" applyFill="1" applyBorder="1" applyAlignment="1">
      <alignment horizontal="center" vertical="center"/>
    </xf>
    <xf numFmtId="0" fontId="8" fillId="10" borderId="39" xfId="0" applyFont="1" applyFill="1" applyBorder="1" applyAlignment="1">
      <alignment horizontal="center" vertical="center"/>
    </xf>
    <xf numFmtId="0" fontId="8" fillId="10" borderId="40" xfId="0" applyFont="1" applyFill="1" applyBorder="1" applyAlignment="1">
      <alignment horizontal="left" vertical="center"/>
    </xf>
    <xf numFmtId="0" fontId="8" fillId="10" borderId="41" xfId="0" applyFont="1" applyFill="1" applyBorder="1" applyAlignment="1">
      <alignment horizontal="left" vertical="center"/>
    </xf>
    <xf numFmtId="0" fontId="8" fillId="10" borderId="42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8" fillId="10" borderId="34" xfId="0" applyFont="1" applyFill="1" applyBorder="1" applyAlignment="1">
      <alignment horizontal="center" vertical="center"/>
    </xf>
    <xf numFmtId="0" fontId="8" fillId="10" borderId="18" xfId="0" applyFont="1" applyFill="1" applyBorder="1" applyAlignment="1">
      <alignment horizontal="center" vertical="center"/>
    </xf>
    <xf numFmtId="0" fontId="8" fillId="10" borderId="19" xfId="0" applyFont="1" applyFill="1" applyBorder="1" applyAlignment="1">
      <alignment horizontal="center" vertical="center"/>
    </xf>
    <xf numFmtId="0" fontId="8" fillId="10" borderId="43" xfId="0" applyFont="1" applyFill="1" applyBorder="1" applyAlignment="1">
      <alignment horizontal="center" vertical="center"/>
    </xf>
    <xf numFmtId="0" fontId="8" fillId="10" borderId="44" xfId="0" applyFont="1" applyFill="1" applyBorder="1" applyAlignment="1">
      <alignment horizontal="center" vertical="center"/>
    </xf>
    <xf numFmtId="0" fontId="8" fillId="10" borderId="45" xfId="0" applyFont="1" applyFill="1" applyBorder="1" applyAlignment="1">
      <alignment horizontal="center" vertical="center"/>
    </xf>
    <xf numFmtId="49" fontId="8" fillId="10" borderId="36" xfId="0" applyNumberFormat="1" applyFont="1" applyFill="1" applyBorder="1" applyAlignment="1">
      <alignment horizontal="center" vertical="center"/>
    </xf>
    <xf numFmtId="49" fontId="8" fillId="10" borderId="37" xfId="0" applyNumberFormat="1" applyFont="1" applyFill="1" applyBorder="1" applyAlignment="1">
      <alignment horizontal="center" vertical="center"/>
    </xf>
    <xf numFmtId="0" fontId="8" fillId="10" borderId="34" xfId="0" applyFont="1" applyFill="1" applyBorder="1" applyAlignment="1">
      <alignment horizontal="center" vertical="center" wrapText="1"/>
    </xf>
    <xf numFmtId="0" fontId="8" fillId="10" borderId="18" xfId="0" applyFont="1" applyFill="1" applyBorder="1" applyAlignment="1">
      <alignment horizontal="center" vertical="center" wrapText="1"/>
    </xf>
    <xf numFmtId="0" fontId="8" fillId="10" borderId="19" xfId="0" applyFont="1" applyFill="1" applyBorder="1" applyAlignment="1">
      <alignment horizontal="center" vertical="center" wrapText="1"/>
    </xf>
    <xf numFmtId="176" fontId="9" fillId="10" borderId="28" xfId="47" applyFont="1" applyFill="1" applyBorder="1" applyAlignment="1">
      <alignment horizontal="center" vertical="center"/>
    </xf>
    <xf numFmtId="176" fontId="9" fillId="10" borderId="46" xfId="47" applyFont="1" applyFill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26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10" fontId="8" fillId="0" borderId="49" xfId="60" applyNumberFormat="1" applyFont="1" applyBorder="1" applyAlignment="1">
      <alignment horizontal="center" vertical="center"/>
    </xf>
    <xf numFmtId="10" fontId="8" fillId="0" borderId="30" xfId="60" applyNumberFormat="1" applyFont="1" applyBorder="1" applyAlignment="1">
      <alignment horizontal="center" vertical="center"/>
    </xf>
    <xf numFmtId="10" fontId="8" fillId="0" borderId="12" xfId="60" applyNumberFormat="1" applyFont="1" applyBorder="1" applyAlignment="1">
      <alignment horizontal="center" vertical="center"/>
    </xf>
    <xf numFmtId="176" fontId="8" fillId="0" borderId="50" xfId="47" applyFont="1" applyBorder="1" applyAlignment="1">
      <alignment horizontal="center" vertical="center"/>
    </xf>
    <xf numFmtId="176" fontId="8" fillId="0" borderId="42" xfId="47" applyFont="1" applyBorder="1" applyAlignment="1">
      <alignment horizontal="center" vertical="center"/>
    </xf>
    <xf numFmtId="176" fontId="8" fillId="0" borderId="26" xfId="47" applyFont="1" applyBorder="1" applyAlignment="1">
      <alignment horizontal="center" vertical="center"/>
    </xf>
    <xf numFmtId="176" fontId="8" fillId="0" borderId="17" xfId="47" applyFont="1" applyBorder="1" applyAlignment="1">
      <alignment horizontal="center" vertical="center"/>
    </xf>
    <xf numFmtId="176" fontId="8" fillId="0" borderId="20" xfId="47" applyFont="1" applyBorder="1" applyAlignment="1">
      <alignment horizontal="center" vertical="center"/>
    </xf>
    <xf numFmtId="176" fontId="8" fillId="0" borderId="51" xfId="47" applyFont="1" applyBorder="1" applyAlignment="1">
      <alignment horizontal="center" vertical="center"/>
    </xf>
    <xf numFmtId="188" fontId="2" fillId="0" borderId="0" xfId="0" applyNumberFormat="1" applyFont="1" applyBorder="1" applyAlignment="1">
      <alignment horizontal="left" vertical="center"/>
    </xf>
    <xf numFmtId="0" fontId="3" fillId="10" borderId="50" xfId="0" applyFont="1" applyFill="1" applyBorder="1" applyAlignment="1">
      <alignment horizontal="left" vertical="center"/>
    </xf>
    <xf numFmtId="0" fontId="3" fillId="10" borderId="41" xfId="0" applyFont="1" applyFill="1" applyBorder="1" applyAlignment="1">
      <alignment horizontal="left" vertical="center"/>
    </xf>
    <xf numFmtId="0" fontId="3" fillId="10" borderId="42" xfId="0" applyFont="1" applyFill="1" applyBorder="1" applyAlignment="1">
      <alignment horizontal="left" vertical="center"/>
    </xf>
    <xf numFmtId="0" fontId="3" fillId="10" borderId="20" xfId="0" applyFont="1" applyFill="1" applyBorder="1" applyAlignment="1">
      <alignment horizontal="center" vertical="center"/>
    </xf>
    <xf numFmtId="0" fontId="3" fillId="10" borderId="29" xfId="0" applyFont="1" applyFill="1" applyBorder="1" applyAlignment="1">
      <alignment horizontal="center" vertical="center"/>
    </xf>
    <xf numFmtId="0" fontId="3" fillId="10" borderId="51" xfId="0" applyFont="1" applyFill="1" applyBorder="1" applyAlignment="1">
      <alignment horizontal="center" vertical="center"/>
    </xf>
    <xf numFmtId="0" fontId="3" fillId="10" borderId="52" xfId="0" applyFont="1" applyFill="1" applyBorder="1" applyAlignment="1">
      <alignment horizontal="center" vertical="center"/>
    </xf>
    <xf numFmtId="0" fontId="3" fillId="10" borderId="22" xfId="0" applyFont="1" applyFill="1" applyBorder="1" applyAlignment="1">
      <alignment horizontal="center" vertical="center"/>
    </xf>
    <xf numFmtId="0" fontId="3" fillId="10" borderId="15" xfId="0" applyFont="1" applyFill="1" applyBorder="1" applyAlignment="1">
      <alignment horizontal="left" vertical="center"/>
    </xf>
    <xf numFmtId="0" fontId="3" fillId="10" borderId="16" xfId="0" applyFont="1" applyFill="1" applyBorder="1" applyAlignment="1">
      <alignment horizontal="left" vertical="center"/>
    </xf>
    <xf numFmtId="0" fontId="3" fillId="10" borderId="25" xfId="0" applyFont="1" applyFill="1" applyBorder="1" applyAlignment="1">
      <alignment horizontal="left" vertical="center"/>
    </xf>
    <xf numFmtId="0" fontId="3" fillId="10" borderId="40" xfId="0" applyFont="1" applyFill="1" applyBorder="1" applyAlignment="1">
      <alignment horizontal="left" vertical="center"/>
    </xf>
    <xf numFmtId="0" fontId="3" fillId="10" borderId="53" xfId="0" applyFont="1" applyFill="1" applyBorder="1" applyAlignment="1">
      <alignment horizontal="left" vertical="center"/>
    </xf>
    <xf numFmtId="0" fontId="8" fillId="4" borderId="54" xfId="0" applyFont="1" applyFill="1" applyBorder="1" applyAlignment="1">
      <alignment horizontal="center" vertical="center" wrapText="1"/>
    </xf>
    <xf numFmtId="0" fontId="8" fillId="4" borderId="55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56" xfId="0" applyFont="1" applyFill="1" applyBorder="1" applyAlignment="1">
      <alignment horizontal="center" vertical="center"/>
    </xf>
    <xf numFmtId="0" fontId="8" fillId="4" borderId="47" xfId="0" applyFont="1" applyFill="1" applyBorder="1" applyAlignment="1">
      <alignment horizontal="center" vertical="center"/>
    </xf>
    <xf numFmtId="0" fontId="8" fillId="4" borderId="57" xfId="0" applyFont="1" applyFill="1" applyBorder="1" applyAlignment="1">
      <alignment horizontal="center" vertical="center"/>
    </xf>
    <xf numFmtId="0" fontId="8" fillId="4" borderId="58" xfId="0" applyFont="1" applyFill="1" applyBorder="1" applyAlignment="1">
      <alignment horizontal="center" vertical="center" wrapText="1"/>
    </xf>
    <xf numFmtId="0" fontId="8" fillId="4" borderId="45" xfId="0" applyFont="1" applyFill="1" applyBorder="1" applyAlignment="1">
      <alignment horizontal="center" vertical="center" wrapText="1"/>
    </xf>
    <xf numFmtId="0" fontId="3" fillId="10" borderId="34" xfId="0" applyFont="1" applyFill="1" applyBorder="1" applyAlignment="1">
      <alignment horizontal="center" vertical="center" wrapText="1"/>
    </xf>
    <xf numFmtId="0" fontId="3" fillId="10" borderId="18" xfId="0" applyFont="1" applyFill="1" applyBorder="1" applyAlignment="1">
      <alignment horizontal="center" vertical="center" wrapText="1"/>
    </xf>
    <xf numFmtId="0" fontId="3" fillId="10" borderId="59" xfId="0" applyFont="1" applyFill="1" applyBorder="1" applyAlignment="1">
      <alignment horizontal="center" vertical="center" wrapText="1"/>
    </xf>
    <xf numFmtId="0" fontId="3" fillId="10" borderId="24" xfId="0" applyFont="1" applyFill="1" applyBorder="1" applyAlignment="1">
      <alignment horizontal="left" vertical="center"/>
    </xf>
    <xf numFmtId="0" fontId="3" fillId="10" borderId="60" xfId="0" applyFont="1" applyFill="1" applyBorder="1" applyAlignment="1">
      <alignment horizontal="left" vertical="center"/>
    </xf>
    <xf numFmtId="0" fontId="8" fillId="4" borderId="50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0" fontId="8" fillId="4" borderId="53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59" xfId="0" applyFont="1" applyFill="1" applyBorder="1" applyAlignment="1">
      <alignment horizontal="center" vertical="center" wrapText="1"/>
    </xf>
    <xf numFmtId="176" fontId="3" fillId="10" borderId="49" xfId="47" applyFont="1" applyFill="1" applyBorder="1" applyAlignment="1">
      <alignment horizontal="center" vertical="center" wrapText="1"/>
    </xf>
    <xf numFmtId="176" fontId="3" fillId="10" borderId="61" xfId="47" applyFont="1" applyFill="1" applyBorder="1" applyAlignment="1">
      <alignment horizontal="center" vertical="center" wrapText="1"/>
    </xf>
    <xf numFmtId="0" fontId="3" fillId="10" borderId="40" xfId="0" applyFont="1" applyFill="1" applyBorder="1" applyAlignment="1">
      <alignment horizontal="center" vertical="center" wrapText="1"/>
    </xf>
    <xf numFmtId="0" fontId="3" fillId="10" borderId="41" xfId="0" applyFont="1" applyFill="1" applyBorder="1" applyAlignment="1">
      <alignment horizontal="center" vertical="center" wrapText="1"/>
    </xf>
    <xf numFmtId="0" fontId="3" fillId="10" borderId="53" xfId="0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/>
    </xf>
    <xf numFmtId="9" fontId="3" fillId="10" borderId="49" xfId="60" applyNumberFormat="1" applyFont="1" applyFill="1" applyBorder="1" applyAlignment="1">
      <alignment horizontal="center" vertical="center" wrapText="1"/>
    </xf>
    <xf numFmtId="9" fontId="3" fillId="10" borderId="61" xfId="6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176" fontId="3" fillId="10" borderId="50" xfId="47" applyFont="1" applyFill="1" applyBorder="1" applyAlignment="1">
      <alignment horizontal="center" vertical="center" wrapText="1"/>
    </xf>
    <xf numFmtId="176" fontId="3" fillId="10" borderId="42" xfId="47" applyFont="1" applyFill="1" applyBorder="1" applyAlignment="1">
      <alignment horizontal="center" vertical="center" wrapText="1"/>
    </xf>
    <xf numFmtId="176" fontId="3" fillId="10" borderId="35" xfId="47" applyFont="1" applyFill="1" applyBorder="1" applyAlignment="1">
      <alignment horizontal="center" vertical="center" wrapText="1"/>
    </xf>
    <xf numFmtId="176" fontId="3" fillId="10" borderId="19" xfId="47" applyFont="1" applyFill="1" applyBorder="1" applyAlignment="1">
      <alignment horizontal="center" vertical="center" wrapText="1"/>
    </xf>
    <xf numFmtId="0" fontId="82" fillId="33" borderId="0" xfId="0" applyFont="1" applyFill="1" applyAlignment="1">
      <alignment horizontal="left" vertical="top" wrapText="1"/>
    </xf>
    <xf numFmtId="0" fontId="49" fillId="33" borderId="0" xfId="0" applyFont="1" applyFill="1" applyAlignment="1">
      <alignment horizontal="left" vertical="top" wrapText="1"/>
    </xf>
    <xf numFmtId="0" fontId="78" fillId="33" borderId="33" xfId="0" applyFont="1" applyFill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54" fillId="35" borderId="27" xfId="0" applyFont="1" applyFill="1" applyBorder="1" applyAlignment="1">
      <alignment horizontal="left" vertical="center"/>
    </xf>
    <xf numFmtId="0" fontId="77" fillId="36" borderId="41" xfId="0" applyFont="1" applyFill="1" applyBorder="1" applyAlignment="1">
      <alignment horizontal="center" vertical="center"/>
    </xf>
    <xf numFmtId="0" fontId="77" fillId="36" borderId="29" xfId="0" applyFont="1" applyFill="1" applyBorder="1" applyAlignment="1">
      <alignment horizontal="center" vertical="center"/>
    </xf>
    <xf numFmtId="0" fontId="75" fillId="33" borderId="29" xfId="0" applyFont="1" applyFill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2" fontId="81" fillId="37" borderId="11" xfId="55" applyNumberFormat="1" applyFont="1" applyFill="1" applyBorder="1" applyAlignment="1" applyProtection="1">
      <alignment horizontal="center" vertical="center"/>
      <protection hidden="1"/>
    </xf>
    <xf numFmtId="0" fontId="40" fillId="37" borderId="32" xfId="55" applyFont="1" applyFill="1" applyBorder="1" applyAlignment="1" applyProtection="1">
      <alignment horizontal="right" vertical="center"/>
      <protection hidden="1"/>
    </xf>
    <xf numFmtId="0" fontId="40" fillId="37" borderId="33" xfId="55" applyFont="1" applyFill="1" applyBorder="1" applyAlignment="1" applyProtection="1">
      <alignment horizontal="right" vertical="center"/>
      <protection hidden="1"/>
    </xf>
    <xf numFmtId="0" fontId="79" fillId="19" borderId="11" xfId="60" applyNumberFormat="1" applyFont="1" applyFill="1" applyBorder="1" applyAlignment="1">
      <alignment horizontal="center" vertical="center"/>
    </xf>
    <xf numFmtId="0" fontId="42" fillId="33" borderId="32" xfId="55" applyFont="1" applyFill="1" applyBorder="1" applyAlignment="1" applyProtection="1">
      <alignment horizontal="left" vertical="center"/>
      <protection hidden="1"/>
    </xf>
    <xf numFmtId="0" fontId="42" fillId="33" borderId="14" xfId="55" applyFont="1" applyFill="1" applyBorder="1" applyAlignment="1" applyProtection="1">
      <alignment horizontal="left" vertical="center"/>
      <protection hidden="1"/>
    </xf>
    <xf numFmtId="0" fontId="77" fillId="36" borderId="49" xfId="0" applyFont="1" applyFill="1" applyBorder="1" applyAlignment="1">
      <alignment horizontal="center" vertical="center"/>
    </xf>
    <xf numFmtId="0" fontId="77" fillId="36" borderId="12" xfId="0" applyFont="1" applyFill="1" applyBorder="1" applyAlignment="1">
      <alignment horizontal="center" vertical="center"/>
    </xf>
    <xf numFmtId="0" fontId="40" fillId="19" borderId="32" xfId="55" applyFont="1" applyFill="1" applyBorder="1" applyAlignment="1" applyProtection="1">
      <alignment horizontal="right" vertical="center"/>
      <protection hidden="1"/>
    </xf>
    <xf numFmtId="0" fontId="40" fillId="19" borderId="33" xfId="55" applyFont="1" applyFill="1" applyBorder="1" applyAlignment="1" applyProtection="1">
      <alignment horizontal="right" vertical="center"/>
      <protection hidden="1"/>
    </xf>
    <xf numFmtId="0" fontId="40" fillId="19" borderId="14" xfId="55" applyFont="1" applyFill="1" applyBorder="1" applyAlignment="1" applyProtection="1">
      <alignment horizontal="right" vertical="center"/>
      <protection hidden="1"/>
    </xf>
    <xf numFmtId="0" fontId="42" fillId="0" borderId="24" xfId="55" applyFont="1" applyBorder="1" applyAlignment="1" applyProtection="1">
      <alignment horizontal="left" vertical="center" wrapText="1"/>
      <protection hidden="1"/>
    </xf>
    <xf numFmtId="0" fontId="42" fillId="0" borderId="25" xfId="55" applyFont="1" applyBorder="1" applyAlignment="1" applyProtection="1">
      <alignment horizontal="left" vertical="center" wrapText="1"/>
      <protection hidden="1"/>
    </xf>
    <xf numFmtId="188" fontId="0" fillId="0" borderId="16" xfId="0" applyNumberFormat="1" applyBorder="1" applyAlignment="1">
      <alignment horizontal="left"/>
    </xf>
    <xf numFmtId="0" fontId="0" fillId="33" borderId="0" xfId="0" applyFill="1" applyAlignment="1">
      <alignment horizontal="left" vertical="center" wrapText="1"/>
    </xf>
    <xf numFmtId="0" fontId="0" fillId="33" borderId="0" xfId="0" applyFill="1" applyAlignment="1">
      <alignment horizontal="left" vertical="center"/>
    </xf>
    <xf numFmtId="0" fontId="84" fillId="33" borderId="0" xfId="0" applyFont="1" applyFill="1" applyAlignment="1">
      <alignment horizontal="center"/>
    </xf>
    <xf numFmtId="0" fontId="84" fillId="33" borderId="0" xfId="0" applyFont="1" applyFill="1" applyAlignment="1">
      <alignment horizontal="left" vertical="center"/>
    </xf>
    <xf numFmtId="0" fontId="84" fillId="33" borderId="0" xfId="0" applyFont="1" applyFill="1" applyAlignment="1">
      <alignment vertical="center"/>
    </xf>
    <xf numFmtId="0" fontId="85" fillId="37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4" fillId="33" borderId="62" xfId="0" applyFont="1" applyFill="1" applyBorder="1" applyAlignment="1">
      <alignment horizontal="left" vertical="center"/>
    </xf>
    <xf numFmtId="0" fontId="74" fillId="33" borderId="46" xfId="0" applyFont="1" applyFill="1" applyBorder="1" applyAlignment="1">
      <alignment horizontal="left" vertical="center"/>
    </xf>
    <xf numFmtId="0" fontId="86" fillId="36" borderId="49" xfId="0" applyFont="1" applyFill="1" applyBorder="1" applyAlignment="1">
      <alignment horizontal="center" vertical="center" wrapText="1"/>
    </xf>
    <xf numFmtId="0" fontId="86" fillId="36" borderId="30" xfId="0" applyFont="1" applyFill="1" applyBorder="1" applyAlignment="1">
      <alignment horizontal="center" vertical="center" wrapText="1"/>
    </xf>
    <xf numFmtId="0" fontId="77" fillId="36" borderId="20" xfId="0" applyFont="1" applyFill="1" applyBorder="1" applyAlignment="1">
      <alignment horizontal="center" vertical="center"/>
    </xf>
    <xf numFmtId="0" fontId="77" fillId="36" borderId="22" xfId="0" applyFont="1" applyFill="1" applyBorder="1" applyAlignment="1">
      <alignment horizontal="center" vertical="center"/>
    </xf>
    <xf numFmtId="0" fontId="77" fillId="36" borderId="50" xfId="0" applyFont="1" applyFill="1" applyBorder="1" applyAlignment="1">
      <alignment horizontal="center" vertical="center"/>
    </xf>
    <xf numFmtId="0" fontId="77" fillId="36" borderId="28" xfId="0" applyFont="1" applyFill="1" applyBorder="1" applyAlignment="1">
      <alignment horizontal="center" vertical="center"/>
    </xf>
    <xf numFmtId="0" fontId="77" fillId="36" borderId="62" xfId="0" applyFont="1" applyFill="1" applyBorder="1" applyAlignment="1">
      <alignment horizontal="center" vertical="center"/>
    </xf>
    <xf numFmtId="176" fontId="40" fillId="38" borderId="28" xfId="47" applyFont="1" applyFill="1" applyBorder="1" applyAlignment="1">
      <alignment horizontal="center" vertical="center"/>
    </xf>
    <xf numFmtId="176" fontId="40" fillId="38" borderId="62" xfId="47" applyFont="1" applyFill="1" applyBorder="1" applyAlignment="1">
      <alignment horizontal="center" vertical="center"/>
    </xf>
    <xf numFmtId="176" fontId="40" fillId="38" borderId="46" xfId="47" applyFont="1" applyFill="1" applyBorder="1" applyAlignment="1">
      <alignment horizontal="center" vertical="center"/>
    </xf>
    <xf numFmtId="0" fontId="4" fillId="10" borderId="11" xfId="53" applyFont="1" applyFill="1" applyBorder="1" applyAlignment="1">
      <alignment horizontal="center" vertical="center" wrapText="1"/>
      <protection/>
    </xf>
    <xf numFmtId="4" fontId="4" fillId="0" borderId="11" xfId="56" applyNumberFormat="1" applyFont="1" applyFill="1" applyBorder="1" applyAlignment="1">
      <alignment horizontal="left" vertical="center" wrapText="1"/>
      <protection/>
    </xf>
    <xf numFmtId="4" fontId="4" fillId="0" borderId="32" xfId="56" applyNumberFormat="1" applyFont="1" applyFill="1" applyBorder="1" applyAlignment="1">
      <alignment horizontal="left" vertical="center" wrapText="1"/>
      <protection/>
    </xf>
    <xf numFmtId="4" fontId="4" fillId="0" borderId="33" xfId="56" applyNumberFormat="1" applyFont="1" applyFill="1" applyBorder="1" applyAlignment="1">
      <alignment horizontal="left" vertical="center" wrapText="1"/>
      <protection/>
    </xf>
    <xf numFmtId="4" fontId="4" fillId="0" borderId="14" xfId="56" applyNumberFormat="1" applyFont="1" applyFill="1" applyBorder="1" applyAlignment="1">
      <alignment horizontal="left" vertical="center" wrapText="1"/>
      <protection/>
    </xf>
    <xf numFmtId="0" fontId="4" fillId="10" borderId="32" xfId="53" applyFont="1" applyFill="1" applyBorder="1" applyAlignment="1">
      <alignment horizontal="center" vertical="center" wrapText="1"/>
      <protection/>
    </xf>
    <xf numFmtId="0" fontId="4" fillId="10" borderId="33" xfId="53" applyFont="1" applyFill="1" applyBorder="1" applyAlignment="1">
      <alignment horizontal="center" vertical="center" wrapText="1"/>
      <protection/>
    </xf>
    <xf numFmtId="0" fontId="4" fillId="10" borderId="14" xfId="53" applyFont="1" applyFill="1" applyBorder="1" applyAlignment="1">
      <alignment horizontal="center" vertical="center" wrapText="1"/>
      <protection/>
    </xf>
    <xf numFmtId="0" fontId="9" fillId="10" borderId="32" xfId="54" applyFont="1" applyFill="1" applyBorder="1" applyAlignment="1">
      <alignment horizontal="center" vertical="center"/>
      <protection/>
    </xf>
    <xf numFmtId="0" fontId="9" fillId="10" borderId="33" xfId="54" applyFont="1" applyFill="1" applyBorder="1" applyAlignment="1">
      <alignment horizontal="center" vertical="center"/>
      <protection/>
    </xf>
    <xf numFmtId="0" fontId="9" fillId="10" borderId="14" xfId="54" applyFont="1" applyFill="1" applyBorder="1" applyAlignment="1">
      <alignment horizontal="center" vertical="center"/>
      <protection/>
    </xf>
    <xf numFmtId="0" fontId="12" fillId="0" borderId="11" xfId="54" applyFont="1" applyBorder="1" applyAlignment="1">
      <alignment horizontal="center" vertical="center"/>
      <protection/>
    </xf>
    <xf numFmtId="0" fontId="9" fillId="10" borderId="11" xfId="54" applyFont="1" applyFill="1" applyBorder="1" applyAlignment="1">
      <alignment horizontal="center" vertical="center"/>
      <protection/>
    </xf>
    <xf numFmtId="0" fontId="3" fillId="0" borderId="18" xfId="0" applyFont="1" applyBorder="1" applyAlignment="1">
      <alignment horizontal="left" vertical="center" wrapText="1"/>
    </xf>
    <xf numFmtId="40" fontId="9" fillId="10" borderId="11" xfId="58" applyNumberFormat="1" applyFont="1" applyFill="1" applyBorder="1" applyAlignment="1">
      <alignment horizontal="center" vertical="center"/>
      <protection/>
    </xf>
    <xf numFmtId="10" fontId="10" fillId="0" borderId="21" xfId="60" applyNumberFormat="1" applyFont="1" applyBorder="1" applyAlignment="1">
      <alignment vertical="center"/>
    </xf>
    <xf numFmtId="199" fontId="2" fillId="0" borderId="0" xfId="0" applyNumberFormat="1" applyFont="1" applyBorder="1" applyAlignment="1">
      <alignment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3" xfId="49"/>
    <cellStyle name="Moeda 6" xfId="50"/>
    <cellStyle name="Neutra" xfId="51"/>
    <cellStyle name="Normal 10" xfId="52"/>
    <cellStyle name="Normal 11 2" xfId="53"/>
    <cellStyle name="Normal 12" xfId="54"/>
    <cellStyle name="Normal 2" xfId="55"/>
    <cellStyle name="Normal 2 2 2 2" xfId="56"/>
    <cellStyle name="Normal 20" xfId="57"/>
    <cellStyle name="Normal 5 2 2" xfId="58"/>
    <cellStyle name="Nota" xfId="59"/>
    <cellStyle name="Percent" xfId="60"/>
    <cellStyle name="Saída" xfId="61"/>
    <cellStyle name="Comma [0]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otal" xfId="70"/>
    <cellStyle name="Comma" xfId="71"/>
  </cellStyles>
  <dxfs count="40">
    <dxf>
      <font>
        <color theme="1"/>
      </font>
      <fill>
        <patternFill patternType="solid">
          <fgColor indexed="65"/>
          <bgColor rgb="FFE8E8E8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rgb="FFE8E8E8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rgb="FFE8E8E8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rgb="FFE8E8E8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rgb="FFE8E8E8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rgb="FFE8E8E8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rgb="FFE8E8E8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rgb="FFE8E8E8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rgb="FFE8E8E8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  <dxf>
      <font>
        <color theme="1"/>
      </font>
      <fill>
        <patternFill patternType="solid">
          <fgColor indexed="65"/>
          <bgColor rgb="FFE8E8E8"/>
        </patternFill>
      </fill>
    </dxf>
    <dxf>
      <font>
        <color theme="1"/>
      </font>
      <fill>
        <patternFill patternType="solid">
          <fgColor indexed="65"/>
          <bgColor theme="0" tint="-0.14986999332904816"/>
        </patternFill>
      </fill>
    </dxf>
    <dxf>
      <font>
        <color theme="1"/>
      </font>
      <fill>
        <patternFill patternType="solid">
          <fgColor indexed="65"/>
          <bgColor theme="0" tint="-0.24993999302387238"/>
        </patternFill>
      </fill>
    </dxf>
    <dxf>
      <font>
        <b/>
        <i val="0"/>
        <color theme="0"/>
      </font>
      <fill>
        <patternFill patternType="solid">
          <fgColor indexed="65"/>
          <bgColor theme="8" tint="-0.499969989061355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0</xdr:row>
      <xdr:rowOff>95250</xdr:rowOff>
    </xdr:from>
    <xdr:to>
      <xdr:col>7</xdr:col>
      <xdr:colOff>0</xdr:colOff>
      <xdr:row>3</xdr:row>
      <xdr:rowOff>123825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95250"/>
          <a:ext cx="13811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247650</xdr:colOff>
      <xdr:row>0</xdr:row>
      <xdr:rowOff>9525</xdr:rowOff>
    </xdr:from>
    <xdr:to>
      <xdr:col>8</xdr:col>
      <xdr:colOff>390525</xdr:colOff>
      <xdr:row>4</xdr:row>
      <xdr:rowOff>104775</xdr:rowOff>
    </xdr:to>
    <xdr:pic>
      <xdr:nvPicPr>
        <xdr:cNvPr id="2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9525"/>
          <a:ext cx="8191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685800</xdr:colOff>
      <xdr:row>1</xdr:row>
      <xdr:rowOff>85725</xdr:rowOff>
    </xdr:from>
    <xdr:to>
      <xdr:col>10</xdr:col>
      <xdr:colOff>666750</xdr:colOff>
      <xdr:row>5</xdr:row>
      <xdr:rowOff>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247650"/>
          <a:ext cx="15621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742950</xdr:colOff>
      <xdr:row>0</xdr:row>
      <xdr:rowOff>66675</xdr:rowOff>
    </xdr:from>
    <xdr:to>
      <xdr:col>12</xdr:col>
      <xdr:colOff>285750</xdr:colOff>
      <xdr:row>6</xdr:row>
      <xdr:rowOff>9525</xdr:rowOff>
    </xdr:to>
    <xdr:pic>
      <xdr:nvPicPr>
        <xdr:cNvPr id="2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29650" y="66675"/>
          <a:ext cx="781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</xdr:row>
      <xdr:rowOff>142875</xdr:rowOff>
    </xdr:from>
    <xdr:to>
      <xdr:col>4</xdr:col>
      <xdr:colOff>200025</xdr:colOff>
      <xdr:row>7</xdr:row>
      <xdr:rowOff>28575</xdr:rowOff>
    </xdr:to>
    <xdr:pic>
      <xdr:nvPicPr>
        <xdr:cNvPr id="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38125"/>
          <a:ext cx="9429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3</xdr:row>
      <xdr:rowOff>66675</xdr:rowOff>
    </xdr:from>
    <xdr:to>
      <xdr:col>4</xdr:col>
      <xdr:colOff>1743075</xdr:colOff>
      <xdr:row>6</xdr:row>
      <xdr:rowOff>95250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485775"/>
          <a:ext cx="15049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1</xdr:row>
      <xdr:rowOff>38100</xdr:rowOff>
    </xdr:from>
    <xdr:to>
      <xdr:col>5</xdr:col>
      <xdr:colOff>628650</xdr:colOff>
      <xdr:row>4</xdr:row>
      <xdr:rowOff>114300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200025"/>
          <a:ext cx="15621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657225</xdr:colOff>
      <xdr:row>0</xdr:row>
      <xdr:rowOff>9525</xdr:rowOff>
    </xdr:from>
    <xdr:to>
      <xdr:col>6</xdr:col>
      <xdr:colOff>800100</xdr:colOff>
      <xdr:row>5</xdr:row>
      <xdr:rowOff>123825</xdr:rowOff>
    </xdr:to>
    <xdr:pic>
      <xdr:nvPicPr>
        <xdr:cNvPr id="2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0800" y="9525"/>
          <a:ext cx="10477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704850</xdr:colOff>
      <xdr:row>1</xdr:row>
      <xdr:rowOff>57150</xdr:rowOff>
    </xdr:from>
    <xdr:to>
      <xdr:col>5</xdr:col>
      <xdr:colOff>523875</xdr:colOff>
      <xdr:row>4</xdr:row>
      <xdr:rowOff>133350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219075"/>
          <a:ext cx="15621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0</xdr:row>
      <xdr:rowOff>9525</xdr:rowOff>
    </xdr:from>
    <xdr:to>
      <xdr:col>6</xdr:col>
      <xdr:colOff>904875</xdr:colOff>
      <xdr:row>5</xdr:row>
      <xdr:rowOff>123825</xdr:rowOff>
    </xdr:to>
    <xdr:pic>
      <xdr:nvPicPr>
        <xdr:cNvPr id="2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4600" y="9525"/>
          <a:ext cx="8382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ngenharia\Desktop\Planilha%20de%20BDI%20-%20&#211;rg&#227;o%20P&#250;blic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I-SERVIÇOS"/>
      <sheetName val="% de BDI "/>
      <sheetName val="Planilha3"/>
      <sheetName val="Plan1"/>
    </sheetNames>
    <sheetDataSet>
      <sheetData sheetId="0">
        <row r="11">
          <cell r="R11" t="str">
            <v>CONSTRUÇÃO DE EDIFÍCIOS</v>
          </cell>
        </row>
      </sheetData>
      <sheetData sheetId="1">
        <row r="4">
          <cell r="A4" t="str">
            <v>CONSTRUÇÃO DE EDIFÍCIOS</v>
          </cell>
        </row>
        <row r="6">
          <cell r="I6">
            <v>0.03</v>
          </cell>
          <cell r="J6">
            <v>0.04</v>
          </cell>
          <cell r="K6">
            <v>0.055</v>
          </cell>
        </row>
        <row r="7">
          <cell r="I7">
            <v>0.008</v>
          </cell>
          <cell r="J7">
            <v>0.008</v>
          </cell>
          <cell r="K7">
            <v>0.01</v>
          </cell>
        </row>
        <row r="8">
          <cell r="I8">
            <v>0.0097</v>
          </cell>
          <cell r="J8">
            <v>0.0127</v>
          </cell>
          <cell r="K8">
            <v>0.0127</v>
          </cell>
        </row>
        <row r="9">
          <cell r="I9">
            <v>0.0059</v>
          </cell>
          <cell r="J9">
            <v>0.0123</v>
          </cell>
          <cell r="K9">
            <v>0.0139</v>
          </cell>
        </row>
        <row r="10">
          <cell r="I10">
            <v>0.0616</v>
          </cell>
          <cell r="J10">
            <v>0.074</v>
          </cell>
          <cell r="K10">
            <v>0.0896</v>
          </cell>
        </row>
        <row r="17">
          <cell r="I17">
            <v>0.2034</v>
          </cell>
          <cell r="J17">
            <v>0.2212</v>
          </cell>
          <cell r="K17">
            <v>0.25</v>
          </cell>
        </row>
        <row r="21">
          <cell r="A21" t="str">
            <v>CONSTRUÇÃO DE RODOVIAS E FERROVIAS</v>
          </cell>
        </row>
        <row r="23">
          <cell r="I23">
            <v>0.038</v>
          </cell>
          <cell r="J23">
            <v>0.0401</v>
          </cell>
          <cell r="K23">
            <v>0.0467</v>
          </cell>
        </row>
        <row r="24">
          <cell r="I24">
            <v>0.0032</v>
          </cell>
          <cell r="J24">
            <v>0.004</v>
          </cell>
          <cell r="K24">
            <v>0.0074</v>
          </cell>
        </row>
        <row r="25">
          <cell r="I25">
            <v>0.005</v>
          </cell>
          <cell r="J25">
            <v>0.0056</v>
          </cell>
          <cell r="K25">
            <v>0.0097</v>
          </cell>
        </row>
        <row r="26">
          <cell r="I26">
            <v>0.0102</v>
          </cell>
          <cell r="J26">
            <v>0.0111</v>
          </cell>
          <cell r="K26">
            <v>0.0121</v>
          </cell>
        </row>
        <row r="27">
          <cell r="I27">
            <v>0.0664</v>
          </cell>
          <cell r="J27">
            <v>0.073</v>
          </cell>
          <cell r="K27">
            <v>0.0869</v>
          </cell>
        </row>
        <row r="34">
          <cell r="I34">
            <v>0.196</v>
          </cell>
          <cell r="J34">
            <v>0.2097</v>
          </cell>
          <cell r="K34">
            <v>0.2423</v>
          </cell>
        </row>
        <row r="38">
          <cell r="A38" t="str">
            <v>CONST. REDES DE ABAST. ÁGUA, COLETA DE ESGOTO E CONST. CORRELATAS</v>
          </cell>
        </row>
        <row r="40">
          <cell r="I40">
            <v>0.0343</v>
          </cell>
          <cell r="J40">
            <v>0.0493</v>
          </cell>
          <cell r="K40">
            <v>0.0671</v>
          </cell>
        </row>
        <row r="41">
          <cell r="I41">
            <v>0.0028</v>
          </cell>
          <cell r="J41">
            <v>0.0049</v>
          </cell>
          <cell r="K41">
            <v>0.0075</v>
          </cell>
        </row>
        <row r="42">
          <cell r="I42">
            <v>0.01</v>
          </cell>
          <cell r="J42">
            <v>0.0139</v>
          </cell>
          <cell r="K42">
            <v>0.0174</v>
          </cell>
        </row>
        <row r="43">
          <cell r="I43">
            <v>0.0094</v>
          </cell>
          <cell r="J43">
            <v>0.0099</v>
          </cell>
          <cell r="K43">
            <v>0.0117</v>
          </cell>
        </row>
        <row r="44">
          <cell r="I44">
            <v>0.0674</v>
          </cell>
          <cell r="J44">
            <v>0.0804</v>
          </cell>
          <cell r="K44">
            <v>0.094</v>
          </cell>
        </row>
        <row r="51">
          <cell r="I51">
            <v>0.2076</v>
          </cell>
          <cell r="J51">
            <v>0.2418</v>
          </cell>
          <cell r="K51">
            <v>0.2644</v>
          </cell>
        </row>
        <row r="55">
          <cell r="A55" t="str">
            <v>CONST. E MANUT. ESTAÇ. E REDES DE DIST. ENERGIA ELÉTRICA</v>
          </cell>
        </row>
        <row r="57">
          <cell r="I57">
            <v>0.0529</v>
          </cell>
          <cell r="J57">
            <v>0.0592</v>
          </cell>
          <cell r="K57">
            <v>0.0793</v>
          </cell>
        </row>
        <row r="58">
          <cell r="I58">
            <v>0.0025</v>
          </cell>
          <cell r="J58">
            <v>0.0051</v>
          </cell>
          <cell r="K58">
            <v>0.0056</v>
          </cell>
        </row>
        <row r="59">
          <cell r="I59">
            <v>0.01</v>
          </cell>
          <cell r="J59">
            <v>0.0148</v>
          </cell>
          <cell r="K59">
            <v>0.0197</v>
          </cell>
        </row>
        <row r="60">
          <cell r="I60">
            <v>0.0101</v>
          </cell>
          <cell r="J60">
            <v>0.0107</v>
          </cell>
          <cell r="K60">
            <v>0.0111</v>
          </cell>
        </row>
        <row r="61">
          <cell r="I61">
            <v>0.08</v>
          </cell>
          <cell r="J61">
            <v>0.0831</v>
          </cell>
          <cell r="K61">
            <v>0.0951</v>
          </cell>
        </row>
        <row r="68">
          <cell r="I68">
            <v>0.24</v>
          </cell>
          <cell r="J68">
            <v>0.2584</v>
          </cell>
          <cell r="K68">
            <v>0.2786</v>
          </cell>
        </row>
        <row r="72">
          <cell r="A72" t="str">
            <v>OBRAS PORTUÁRIAS, MARÍTIMAS E FLUVIAIS</v>
          </cell>
        </row>
        <row r="74">
          <cell r="I74">
            <v>0.04</v>
          </cell>
          <cell r="J74">
            <v>0.0552</v>
          </cell>
          <cell r="K74">
            <v>0.0785</v>
          </cell>
        </row>
        <row r="75">
          <cell r="I75">
            <v>0.0081</v>
          </cell>
          <cell r="J75">
            <v>0.0122</v>
          </cell>
          <cell r="K75">
            <v>0.0199</v>
          </cell>
        </row>
        <row r="76">
          <cell r="I76">
            <v>0.0146</v>
          </cell>
          <cell r="J76">
            <v>0.0232</v>
          </cell>
          <cell r="K76">
            <v>0.0316</v>
          </cell>
        </row>
        <row r="77">
          <cell r="I77">
            <v>0.0094</v>
          </cell>
          <cell r="J77">
            <v>0.0102</v>
          </cell>
          <cell r="K77">
            <v>0.0133</v>
          </cell>
        </row>
        <row r="78">
          <cell r="I78">
            <v>0.0714</v>
          </cell>
          <cell r="J78">
            <v>0.084</v>
          </cell>
          <cell r="K78">
            <v>0.1043</v>
          </cell>
        </row>
        <row r="85">
          <cell r="I85">
            <v>0.228</v>
          </cell>
          <cell r="J85">
            <v>0.2748</v>
          </cell>
          <cell r="K85">
            <v>0.3095</v>
          </cell>
        </row>
      </sheetData>
      <sheetData sheetId="2">
        <row r="4">
          <cell r="C4" t="str">
            <v>DESONERADO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showGridLines="0" tabSelected="1" view="pageBreakPreview" zoomScale="130" zoomScaleSheetLayoutView="130" zoomScalePageLayoutView="0" workbookViewId="0" topLeftCell="A10">
      <selection activeCell="F18" sqref="F18"/>
    </sheetView>
  </sheetViews>
  <sheetFormatPr defaultColWidth="11.57421875" defaultRowHeight="12" customHeight="1"/>
  <cols>
    <col min="1" max="1" width="5.28125" style="1" bestFit="1" customWidth="1"/>
    <col min="2" max="2" width="6.00390625" style="1" customWidth="1"/>
    <col min="3" max="3" width="6.57421875" style="153" customWidth="1"/>
    <col min="4" max="4" width="43.8515625" style="1" customWidth="1"/>
    <col min="5" max="5" width="6.00390625" style="1" customWidth="1"/>
    <col min="6" max="6" width="7.140625" style="1" customWidth="1"/>
    <col min="7" max="8" width="10.140625" style="1" bestFit="1" customWidth="1"/>
    <col min="9" max="9" width="12.140625" style="1" bestFit="1" customWidth="1"/>
    <col min="10" max="10" width="21.57421875" style="1" customWidth="1"/>
    <col min="11" max="11" width="10.57421875" style="1" customWidth="1"/>
    <col min="12" max="12" width="11.7109375" style="1" customWidth="1"/>
    <col min="13" max="14" width="8.28125" style="1" customWidth="1"/>
    <col min="15" max="16" width="11.57421875" style="1" customWidth="1"/>
    <col min="17" max="17" width="11.28125" style="1" customWidth="1"/>
    <col min="18" max="16384" width="11.57421875" style="1" customWidth="1"/>
  </cols>
  <sheetData>
    <row r="1" spans="1:11" ht="12" customHeight="1">
      <c r="A1" s="223" t="s">
        <v>38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1:11" ht="12" customHeight="1">
      <c r="A2" s="223" t="s">
        <v>39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</row>
    <row r="3" spans="1:11" ht="12" customHeight="1">
      <c r="A3" s="224" t="s">
        <v>40</v>
      </c>
      <c r="B3" s="224"/>
      <c r="C3" s="224"/>
      <c r="D3" s="224"/>
      <c r="E3" s="224"/>
      <c r="F3" s="224"/>
      <c r="G3" s="224"/>
      <c r="H3" s="224"/>
      <c r="I3" s="224"/>
      <c r="J3" s="37"/>
      <c r="K3" s="38"/>
    </row>
    <row r="4" spans="1:11" ht="12" customHeight="1">
      <c r="A4" s="224" t="s">
        <v>45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</row>
    <row r="5" spans="1:11" ht="12" customHeight="1">
      <c r="A5" s="214" t="s">
        <v>129</v>
      </c>
      <c r="B5" s="214"/>
      <c r="C5" s="214" t="s">
        <v>258</v>
      </c>
      <c r="D5" s="214"/>
      <c r="E5" s="214"/>
      <c r="F5" s="214"/>
      <c r="G5" s="214"/>
      <c r="H5" s="39"/>
      <c r="I5" s="40"/>
      <c r="J5" s="41"/>
      <c r="K5" s="27"/>
    </row>
    <row r="6" spans="1:11" ht="12" customHeight="1">
      <c r="A6" s="224" t="s">
        <v>222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</row>
    <row r="7" spans="1:11" ht="12" customHeight="1">
      <c r="A7" s="222" t="s">
        <v>128</v>
      </c>
      <c r="B7" s="222"/>
      <c r="C7" s="222"/>
      <c r="D7" s="222"/>
      <c r="E7" s="222"/>
      <c r="F7" s="222"/>
      <c r="G7" s="222"/>
      <c r="H7" s="220" t="s">
        <v>221</v>
      </c>
      <c r="I7" s="219">
        <f>BDI!K30</f>
        <v>0.2706</v>
      </c>
      <c r="J7" s="42"/>
      <c r="K7" s="42"/>
    </row>
    <row r="8" spans="1:11" ht="12" customHeight="1" thickBot="1">
      <c r="A8" s="222"/>
      <c r="B8" s="222"/>
      <c r="C8" s="222"/>
      <c r="D8" s="222"/>
      <c r="E8" s="222"/>
      <c r="F8" s="222"/>
      <c r="G8" s="222"/>
      <c r="H8" s="218"/>
      <c r="I8" s="218"/>
      <c r="J8" s="43"/>
      <c r="K8" s="44"/>
    </row>
    <row r="9" spans="1:9" ht="13.5">
      <c r="A9" s="231" t="s">
        <v>6</v>
      </c>
      <c r="B9" s="232"/>
      <c r="C9" s="232"/>
      <c r="D9" s="233"/>
      <c r="E9" s="231" t="s">
        <v>11</v>
      </c>
      <c r="F9" s="232"/>
      <c r="G9" s="232"/>
      <c r="H9" s="232"/>
      <c r="I9" s="233"/>
    </row>
    <row r="10" spans="1:9" ht="14.25" thickBot="1">
      <c r="A10" s="235" t="s">
        <v>38</v>
      </c>
      <c r="B10" s="236"/>
      <c r="C10" s="236"/>
      <c r="D10" s="237"/>
      <c r="E10" s="235" t="s">
        <v>13</v>
      </c>
      <c r="F10" s="236"/>
      <c r="G10" s="236"/>
      <c r="H10" s="236"/>
      <c r="I10" s="237"/>
    </row>
    <row r="11" spans="1:11" s="3" customFormat="1" ht="13.5">
      <c r="A11" s="231" t="s">
        <v>12</v>
      </c>
      <c r="B11" s="232"/>
      <c r="C11" s="232"/>
      <c r="D11" s="233"/>
      <c r="E11" s="231" t="s">
        <v>14</v>
      </c>
      <c r="F11" s="232"/>
      <c r="G11" s="232"/>
      <c r="H11" s="232"/>
      <c r="I11" s="233"/>
      <c r="J11" s="1"/>
      <c r="K11" s="2"/>
    </row>
    <row r="12" spans="1:13" s="3" customFormat="1" ht="21" customHeight="1" thickBot="1">
      <c r="A12" s="243" t="str">
        <f>C5</f>
        <v>PAVIMENTAÇÃO DE VIAS COM BLOCO DE CONCRETO INTERTRAVADO</v>
      </c>
      <c r="B12" s="244"/>
      <c r="C12" s="244"/>
      <c r="D12" s="245"/>
      <c r="E12" s="155" t="s">
        <v>125</v>
      </c>
      <c r="F12" s="47"/>
      <c r="G12" s="47"/>
      <c r="H12" s="47" t="s">
        <v>124</v>
      </c>
      <c r="I12" s="48"/>
      <c r="J12" s="1"/>
      <c r="K12" s="1"/>
      <c r="M12" s="4"/>
    </row>
    <row r="13" spans="1:11" s="3" customFormat="1" ht="12.75" customHeight="1">
      <c r="A13" s="229" t="s">
        <v>30</v>
      </c>
      <c r="B13" s="227" t="s">
        <v>43</v>
      </c>
      <c r="C13" s="241" t="s">
        <v>35</v>
      </c>
      <c r="D13" s="227" t="s">
        <v>36</v>
      </c>
      <c r="E13" s="229" t="s">
        <v>31</v>
      </c>
      <c r="F13" s="229" t="s">
        <v>32</v>
      </c>
      <c r="G13" s="225" t="s">
        <v>33</v>
      </c>
      <c r="H13" s="225" t="s">
        <v>215</v>
      </c>
      <c r="I13" s="227" t="s">
        <v>29</v>
      </c>
      <c r="J13" s="13" t="s">
        <v>34</v>
      </c>
      <c r="K13" s="5"/>
    </row>
    <row r="14" spans="1:11" s="3" customFormat="1" ht="11.25" customHeight="1" thickBot="1">
      <c r="A14" s="230"/>
      <c r="B14" s="228"/>
      <c r="C14" s="242"/>
      <c r="D14" s="228"/>
      <c r="E14" s="230"/>
      <c r="F14" s="230"/>
      <c r="G14" s="226"/>
      <c r="H14" s="226"/>
      <c r="I14" s="228"/>
      <c r="J14" s="146">
        <f>1+BDI!K30</f>
        <v>1.2706</v>
      </c>
      <c r="K14" s="3" t="s">
        <v>41</v>
      </c>
    </row>
    <row r="15" spans="1:12" s="212" customFormat="1" ht="13.5">
      <c r="A15" s="205">
        <v>1</v>
      </c>
      <c r="B15" s="206"/>
      <c r="C15" s="207"/>
      <c r="D15" s="208" t="s">
        <v>220</v>
      </c>
      <c r="E15" s="209"/>
      <c r="F15" s="209"/>
      <c r="G15" s="210"/>
      <c r="H15" s="210"/>
      <c r="I15" s="211">
        <f>SUM(I16)</f>
        <v>1343.82</v>
      </c>
      <c r="K15" s="213">
        <v>445</v>
      </c>
      <c r="L15" s="212">
        <v>445</v>
      </c>
    </row>
    <row r="16" spans="1:11" s="3" customFormat="1" ht="13.5">
      <c r="A16" s="16" t="s">
        <v>1</v>
      </c>
      <c r="B16" s="29" t="s">
        <v>44</v>
      </c>
      <c r="C16" s="149" t="s">
        <v>223</v>
      </c>
      <c r="D16" s="17" t="s">
        <v>224</v>
      </c>
      <c r="E16" s="18" t="s">
        <v>218</v>
      </c>
      <c r="F16" s="21">
        <v>6</v>
      </c>
      <c r="G16" s="147">
        <v>176.27</v>
      </c>
      <c r="H16" s="148">
        <f>ROUND(G16*$J$14,2)</f>
        <v>223.97</v>
      </c>
      <c r="I16" s="221">
        <f>ROUND(F16*H16,2)</f>
        <v>1343.82</v>
      </c>
      <c r="K16" s="3">
        <f>23.2*110</f>
        <v>2552</v>
      </c>
    </row>
    <row r="17" spans="1:12" s="212" customFormat="1" ht="13.5">
      <c r="A17" s="205">
        <v>2</v>
      </c>
      <c r="B17" s="206"/>
      <c r="C17" s="207"/>
      <c r="D17" s="208" t="s">
        <v>216</v>
      </c>
      <c r="E17" s="209"/>
      <c r="F17" s="209"/>
      <c r="G17" s="210"/>
      <c r="H17" s="210"/>
      <c r="I17" s="211">
        <f>SUM(I18)</f>
        <v>499324</v>
      </c>
      <c r="K17" s="213">
        <v>445</v>
      </c>
      <c r="L17" s="212">
        <v>445</v>
      </c>
    </row>
    <row r="18" spans="1:11" s="3" customFormat="1" ht="40.5">
      <c r="A18" s="16" t="s">
        <v>219</v>
      </c>
      <c r="B18" s="29" t="s">
        <v>121</v>
      </c>
      <c r="C18" s="149" t="s">
        <v>217</v>
      </c>
      <c r="D18" s="17" t="s">
        <v>225</v>
      </c>
      <c r="E18" s="18" t="s">
        <v>218</v>
      </c>
      <c r="F18" s="21">
        <v>4760</v>
      </c>
      <c r="G18" s="147">
        <v>82.56</v>
      </c>
      <c r="H18" s="148">
        <f>ROUND(G18*$J$14,2)</f>
        <v>104.9</v>
      </c>
      <c r="I18" s="221">
        <f>ROUND(F18*H18,2)</f>
        <v>499324</v>
      </c>
      <c r="K18" s="3">
        <f>23.2*110</f>
        <v>2552</v>
      </c>
    </row>
    <row r="19" spans="1:11" s="3" customFormat="1" ht="14.25" thickBot="1">
      <c r="A19" s="30"/>
      <c r="B19" s="31"/>
      <c r="C19" s="150"/>
      <c r="D19" s="32"/>
      <c r="E19" s="31"/>
      <c r="F19" s="33"/>
      <c r="G19" s="33"/>
      <c r="H19" s="34"/>
      <c r="I19" s="35"/>
      <c r="K19" s="3">
        <f>36*23.4</f>
        <v>842.4</v>
      </c>
    </row>
    <row r="20" spans="1:16" s="3" customFormat="1" ht="17.25" thickBot="1">
      <c r="A20" s="238" t="s">
        <v>7</v>
      </c>
      <c r="B20" s="239"/>
      <c r="C20" s="239"/>
      <c r="D20" s="239"/>
      <c r="E20" s="239"/>
      <c r="F20" s="239"/>
      <c r="G20" s="240"/>
      <c r="H20" s="246">
        <f>SUM(I15,I17)</f>
        <v>500667.82</v>
      </c>
      <c r="I20" s="247"/>
      <c r="J20" s="12"/>
      <c r="K20" s="3">
        <f>SUM(K17:K19)</f>
        <v>3839.4</v>
      </c>
      <c r="O20" s="11"/>
      <c r="P20" s="6"/>
    </row>
    <row r="21" spans="1:16" ht="2.25" customHeight="1">
      <c r="A21" s="22"/>
      <c r="B21" s="22"/>
      <c r="C21" s="151"/>
      <c r="D21" s="23"/>
      <c r="E21" s="22"/>
      <c r="F21" s="22"/>
      <c r="G21" s="22"/>
      <c r="H21" s="24"/>
      <c r="I21" s="25"/>
      <c r="J21" s="10"/>
      <c r="P21" s="8"/>
    </row>
    <row r="22" spans="1:16" ht="13.5">
      <c r="A22" s="234" t="s">
        <v>123</v>
      </c>
      <c r="B22" s="234"/>
      <c r="C22" s="234"/>
      <c r="D22" s="154">
        <f ca="1">TODAY()</f>
        <v>44783</v>
      </c>
      <c r="E22" s="28"/>
      <c r="F22" s="28"/>
      <c r="G22" s="28"/>
      <c r="H22" s="28"/>
      <c r="I22" s="28"/>
      <c r="J22" s="9"/>
      <c r="P22" s="8"/>
    </row>
    <row r="23" spans="1:16" ht="8.25" customHeight="1">
      <c r="A23" s="22"/>
      <c r="B23" s="22"/>
      <c r="C23" s="151"/>
      <c r="D23" s="28"/>
      <c r="E23" s="28"/>
      <c r="F23" s="28"/>
      <c r="G23" s="28"/>
      <c r="H23" s="28"/>
      <c r="I23" s="28"/>
      <c r="J23" s="9"/>
      <c r="P23" s="8"/>
    </row>
    <row r="24" spans="1:16" ht="9.75" customHeight="1">
      <c r="A24" s="22"/>
      <c r="B24" s="22"/>
      <c r="C24" s="151"/>
      <c r="D24" s="28"/>
      <c r="E24" s="28"/>
      <c r="F24" s="28"/>
      <c r="G24" s="28"/>
      <c r="H24" s="28"/>
      <c r="I24" s="28"/>
      <c r="J24" s="9"/>
      <c r="P24" s="8"/>
    </row>
    <row r="25" spans="1:16" ht="13.5">
      <c r="A25" s="22"/>
      <c r="B25" s="22"/>
      <c r="C25" s="151"/>
      <c r="D25" s="28"/>
      <c r="E25" s="28"/>
      <c r="F25" s="28"/>
      <c r="G25" s="28"/>
      <c r="H25" s="28"/>
      <c r="I25" s="28"/>
      <c r="J25" s="9"/>
      <c r="P25" s="8"/>
    </row>
    <row r="26" spans="1:16" ht="13.5">
      <c r="A26" s="22"/>
      <c r="B26" s="22"/>
      <c r="C26" s="151"/>
      <c r="D26" s="28"/>
      <c r="E26" s="28"/>
      <c r="F26" s="28"/>
      <c r="G26" s="28"/>
      <c r="H26" s="28"/>
      <c r="I26" s="28"/>
      <c r="J26" s="373">
        <f>F18/6</f>
        <v>793.3333333333334</v>
      </c>
      <c r="P26" s="8"/>
    </row>
    <row r="27" spans="1:16" ht="13.5">
      <c r="A27" s="22"/>
      <c r="B27" s="22"/>
      <c r="C27" s="151"/>
      <c r="D27" s="28"/>
      <c r="E27" s="28"/>
      <c r="F27" s="28"/>
      <c r="G27" s="28"/>
      <c r="H27" s="28"/>
      <c r="I27" s="28"/>
      <c r="J27" s="9"/>
      <c r="P27" s="8"/>
    </row>
    <row r="28" spans="1:16" ht="13.5">
      <c r="A28" s="22"/>
      <c r="B28" s="22"/>
      <c r="C28" s="151"/>
      <c r="D28" s="28"/>
      <c r="E28" s="28"/>
      <c r="F28" s="28"/>
      <c r="G28" s="28"/>
      <c r="H28" s="28"/>
      <c r="I28" s="28"/>
      <c r="J28" s="9"/>
      <c r="P28" s="8"/>
    </row>
    <row r="29" spans="1:16" ht="12" customHeight="1">
      <c r="A29" s="27" t="s">
        <v>126</v>
      </c>
      <c r="B29" s="27"/>
      <c r="C29" s="151"/>
      <c r="D29" s="23"/>
      <c r="E29" s="23"/>
      <c r="F29" s="23"/>
      <c r="G29" s="23"/>
      <c r="H29" s="23"/>
      <c r="I29" s="23"/>
      <c r="J29" s="14"/>
      <c r="K29" s="14"/>
      <c r="P29" s="8"/>
    </row>
    <row r="30" spans="1:16" ht="12" customHeight="1">
      <c r="A30" s="53" t="str">
        <f>E12</f>
        <v>ENG. CIVIL ALICE MORAIS</v>
      </c>
      <c r="B30" s="53"/>
      <c r="C30" s="152"/>
      <c r="D30" s="36"/>
      <c r="E30" s="22"/>
      <c r="F30" s="22"/>
      <c r="G30" s="22"/>
      <c r="H30" s="26"/>
      <c r="I30" s="27"/>
      <c r="P30" s="8"/>
    </row>
    <row r="31" spans="1:10" ht="12" customHeight="1">
      <c r="A31" s="53" t="str">
        <f>H12</f>
        <v>CREA 151.686.693-2</v>
      </c>
      <c r="B31" s="53"/>
      <c r="C31" s="152"/>
      <c r="D31" s="36"/>
      <c r="E31" s="27"/>
      <c r="F31" s="27"/>
      <c r="G31" s="27"/>
      <c r="H31" s="36"/>
      <c r="I31" s="36"/>
      <c r="J31" s="2"/>
    </row>
    <row r="32" spans="4:10" ht="12" customHeight="1">
      <c r="D32" s="7"/>
      <c r="I32" s="9"/>
      <c r="J32" s="2"/>
    </row>
    <row r="33" ht="12" customHeight="1">
      <c r="I33" s="10"/>
    </row>
    <row r="35" spans="8:9" ht="12" customHeight="1">
      <c r="H35" s="19"/>
      <c r="I35" s="20"/>
    </row>
  </sheetData>
  <sheetProtection/>
  <mergeCells count="25">
    <mergeCell ref="A22:C22"/>
    <mergeCell ref="A9:D9"/>
    <mergeCell ref="E9:I9"/>
    <mergeCell ref="A10:D10"/>
    <mergeCell ref="E10:I10"/>
    <mergeCell ref="B13:B14"/>
    <mergeCell ref="A20:G20"/>
    <mergeCell ref="C13:C14"/>
    <mergeCell ref="A12:D12"/>
    <mergeCell ref="H20:I20"/>
    <mergeCell ref="H13:H14"/>
    <mergeCell ref="I13:I14"/>
    <mergeCell ref="A13:A14"/>
    <mergeCell ref="A11:D11"/>
    <mergeCell ref="E11:I11"/>
    <mergeCell ref="E13:E14"/>
    <mergeCell ref="F13:F14"/>
    <mergeCell ref="G13:G14"/>
    <mergeCell ref="D13:D14"/>
    <mergeCell ref="A7:G8"/>
    <mergeCell ref="A1:K1"/>
    <mergeCell ref="A2:K2"/>
    <mergeCell ref="A3:I3"/>
    <mergeCell ref="A4:K4"/>
    <mergeCell ref="A6:K6"/>
  </mergeCells>
  <printOptions horizontalCentered="1"/>
  <pageMargins left="0.3937007874015748" right="0.3937007874015748" top="0.3937007874015748" bottom="0.5905511811023623" header="0.2362204724409449" footer="0.07874015748031496"/>
  <pageSetup fitToHeight="0" horizontalDpi="300" verticalDpi="300" orientation="landscape" paperSize="9" scale="11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showGridLines="0" view="pageBreakPreview" zoomScaleNormal="85" zoomScaleSheetLayoutView="100" zoomScalePageLayoutView="0" workbookViewId="0" topLeftCell="A1">
      <selection activeCell="L21" sqref="L21:M22"/>
    </sheetView>
  </sheetViews>
  <sheetFormatPr defaultColWidth="8.8515625" defaultRowHeight="12.75"/>
  <cols>
    <col min="1" max="1" width="7.421875" style="45" customWidth="1"/>
    <col min="2" max="2" width="8.8515625" style="45" customWidth="1"/>
    <col min="3" max="3" width="9.8515625" style="45" customWidth="1"/>
    <col min="4" max="4" width="20.57421875" style="45" customWidth="1"/>
    <col min="5" max="5" width="12.28125" style="45" customWidth="1"/>
    <col min="6" max="11" width="11.8515625" style="45" customWidth="1"/>
    <col min="12" max="12" width="6.7109375" style="45" customWidth="1"/>
    <col min="13" max="13" width="6.28125" style="45" customWidth="1"/>
    <col min="14" max="14" width="2.421875" style="45" customWidth="1"/>
    <col min="15" max="16" width="11.140625" style="45" customWidth="1"/>
    <col min="17" max="17" width="11.57421875" style="45" bestFit="1" customWidth="1"/>
    <col min="18" max="16384" width="8.8515625" style="45" customWidth="1"/>
  </cols>
  <sheetData>
    <row r="1" spans="1:11" s="158" customFormat="1" ht="12.75">
      <c r="A1" s="46" t="str">
        <f>ORÇAMENTO!$A$1</f>
        <v>PREFEITURA MUNICIPAL DE IPIXUNA DO PARÁ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s="158" customFormat="1" ht="12.75">
      <c r="A2" s="46" t="str">
        <f>ORÇAMENTO!$A$2</f>
        <v>CNPJ: 83.268.011/0001-84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s="158" customFormat="1" ht="12.75">
      <c r="A3" s="46" t="str">
        <f>ORÇAMENTO!$A$3</f>
        <v>SECRETARIA MUNICIPAL DE OBRAS, TRANSPORTE, ÁGUA E URBANISMO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s="158" customFormat="1" ht="12.75">
      <c r="A4" s="46" t="str">
        <f>ORÇAMENTO!$A$4</f>
        <v>ENDEREÇO: AV. PRESIDENTE GETÚLIO VARGAS, 505. CENTRO.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s="158" customFormat="1" ht="12.75">
      <c r="A5" s="46" t="str">
        <f>ORÇAMENTO!$A$5</f>
        <v>OBJETO:</v>
      </c>
      <c r="B5" s="46" t="str">
        <f>ORÇAMENTO!C5</f>
        <v>PAVIMENTAÇÃO DE VIAS COM BLOCO DE CONCRETO INTERTRAVADO</v>
      </c>
      <c r="C5" s="46"/>
      <c r="D5" s="46"/>
      <c r="E5" s="46"/>
      <c r="F5" s="46"/>
      <c r="G5" s="46"/>
      <c r="H5" s="46"/>
      <c r="I5" s="46"/>
      <c r="J5" s="46"/>
      <c r="K5" s="46"/>
    </row>
    <row r="6" spans="1:11" s="158" customFormat="1" ht="13.5">
      <c r="A6" s="46" t="str">
        <f>ORÇAMENTO!$A$6</f>
        <v>REFERÊNCIA: SINAPI JUNHO/2022 - DESONERADO / SEDOP 05/2022</v>
      </c>
      <c r="B6" s="159"/>
      <c r="C6" s="159"/>
      <c r="D6" s="4"/>
      <c r="E6" s="4"/>
      <c r="F6" s="4"/>
      <c r="G6" s="46"/>
      <c r="H6" s="46"/>
      <c r="I6" s="4"/>
      <c r="J6" s="46"/>
      <c r="K6" s="46"/>
    </row>
    <row r="7" spans="1:11" s="158" customFormat="1" ht="27" customHeight="1" thickBot="1">
      <c r="A7" s="309" t="str">
        <f>ORÇAMENTO!$A$7</f>
        <v>RESPONSAVEL TÉCNICO: ENG. CIVIL ALICE C. OLIVEIRA DE MORAIS  / CREA 151.686.693-2
Contato: (91) 98468-1798 e-mail: alicemorais.co@gmail.com</v>
      </c>
      <c r="B7" s="309"/>
      <c r="C7" s="309"/>
      <c r="D7" s="309"/>
      <c r="E7" s="309"/>
      <c r="F7" s="309"/>
      <c r="G7" s="160"/>
      <c r="H7" s="160"/>
      <c r="I7" s="160"/>
      <c r="J7" s="160"/>
      <c r="K7" s="160"/>
    </row>
    <row r="8" spans="1:13" s="3" customFormat="1" ht="12.75">
      <c r="A8" s="276" t="s">
        <v>6</v>
      </c>
      <c r="B8" s="266"/>
      <c r="C8" s="266"/>
      <c r="D8" s="266"/>
      <c r="E8" s="277"/>
      <c r="F8" s="265" t="s">
        <v>11</v>
      </c>
      <c r="G8" s="266"/>
      <c r="H8" s="266"/>
      <c r="I8" s="266"/>
      <c r="J8" s="266"/>
      <c r="K8" s="266"/>
      <c r="L8" s="266"/>
      <c r="M8" s="267"/>
    </row>
    <row r="9" spans="1:13" s="3" customFormat="1" ht="13.5" customHeight="1">
      <c r="A9" s="271" t="str">
        <f>ORÇAMENTO!A10</f>
        <v>PREFEITURA MUNICIPAL DE IPIXUNA DO PARÁ</v>
      </c>
      <c r="B9" s="269"/>
      <c r="C9" s="269"/>
      <c r="D9" s="269"/>
      <c r="E9" s="272"/>
      <c r="F9" s="268" t="s">
        <v>17</v>
      </c>
      <c r="G9" s="269"/>
      <c r="H9" s="269"/>
      <c r="I9" s="269"/>
      <c r="J9" s="269"/>
      <c r="K9" s="269"/>
      <c r="L9" s="269"/>
      <c r="M9" s="270"/>
    </row>
    <row r="10" spans="1:13" s="3" customFormat="1" ht="12.75">
      <c r="A10" s="273" t="s">
        <v>12</v>
      </c>
      <c r="B10" s="274"/>
      <c r="C10" s="274"/>
      <c r="D10" s="274"/>
      <c r="E10" s="275"/>
      <c r="F10" s="290" t="s">
        <v>15</v>
      </c>
      <c r="G10" s="274"/>
      <c r="H10" s="274"/>
      <c r="I10" s="274"/>
      <c r="J10" s="274"/>
      <c r="K10" s="274"/>
      <c r="L10" s="274"/>
      <c r="M10" s="291"/>
    </row>
    <row r="11" spans="1:13" s="3" customFormat="1" ht="18" customHeight="1" thickBot="1">
      <c r="A11" s="287" t="str">
        <f>B5</f>
        <v>PAVIMENTAÇÃO DE VIAS COM BLOCO DE CONCRETO INTERTRAVADO</v>
      </c>
      <c r="B11" s="288"/>
      <c r="C11" s="288"/>
      <c r="D11" s="288"/>
      <c r="E11" s="289"/>
      <c r="F11" s="156" t="str">
        <f>ORÇAMENTO!E12</f>
        <v>ENG. CIVIL ALICE MORAIS</v>
      </c>
      <c r="G11" s="49"/>
      <c r="H11" s="49" t="str">
        <f>ORÇAMENTO!H12</f>
        <v>CREA 151.686.693-2</v>
      </c>
      <c r="I11" s="156"/>
      <c r="J11" s="49"/>
      <c r="K11" s="49"/>
      <c r="L11" s="49"/>
      <c r="M11" s="50"/>
    </row>
    <row r="12" spans="1:13" s="158" customFormat="1" ht="8.25" customHeight="1">
      <c r="A12" s="282" t="s">
        <v>0</v>
      </c>
      <c r="B12" s="292" t="s">
        <v>9</v>
      </c>
      <c r="C12" s="293"/>
      <c r="D12" s="294"/>
      <c r="E12" s="278" t="s">
        <v>259</v>
      </c>
      <c r="F12" s="278"/>
      <c r="G12" s="278"/>
      <c r="H12" s="278"/>
      <c r="I12" s="278"/>
      <c r="J12" s="278"/>
      <c r="K12" s="278"/>
      <c r="L12" s="278"/>
      <c r="M12" s="279"/>
    </row>
    <row r="13" spans="1:13" s="158" customFormat="1" ht="6" customHeight="1">
      <c r="A13" s="283"/>
      <c r="B13" s="295"/>
      <c r="C13" s="296"/>
      <c r="D13" s="297"/>
      <c r="E13" s="280"/>
      <c r="F13" s="280"/>
      <c r="G13" s="280"/>
      <c r="H13" s="280"/>
      <c r="I13" s="280"/>
      <c r="J13" s="280"/>
      <c r="K13" s="280"/>
      <c r="L13" s="280"/>
      <c r="M13" s="281"/>
    </row>
    <row r="14" spans="1:13" s="158" customFormat="1" ht="18" customHeight="1" thickBot="1">
      <c r="A14" s="284"/>
      <c r="B14" s="298"/>
      <c r="C14" s="299"/>
      <c r="D14" s="300"/>
      <c r="E14" s="58" t="s">
        <v>18</v>
      </c>
      <c r="F14" s="58" t="s">
        <v>26</v>
      </c>
      <c r="G14" s="58" t="s">
        <v>27</v>
      </c>
      <c r="H14" s="58" t="s">
        <v>28</v>
      </c>
      <c r="I14" s="58" t="s">
        <v>260</v>
      </c>
      <c r="J14" s="58" t="s">
        <v>261</v>
      </c>
      <c r="K14" s="58" t="s">
        <v>262</v>
      </c>
      <c r="L14" s="285" t="s">
        <v>4</v>
      </c>
      <c r="M14" s="286"/>
    </row>
    <row r="15" spans="1:13" s="158" customFormat="1" ht="11.25" customHeight="1">
      <c r="A15" s="248">
        <v>1</v>
      </c>
      <c r="B15" s="250" t="str">
        <f>ORÇAMENTO!D15</f>
        <v>SERVIÇOS PRELIMINARES</v>
      </c>
      <c r="C15" s="222"/>
      <c r="D15" s="251"/>
      <c r="E15" s="255">
        <f>L15/$L$21</f>
        <v>0.0026840550686880573</v>
      </c>
      <c r="F15" s="56">
        <v>1</v>
      </c>
      <c r="G15" s="161"/>
      <c r="H15" s="162"/>
      <c r="I15" s="162"/>
      <c r="J15" s="161"/>
      <c r="K15" s="162"/>
      <c r="L15" s="258">
        <f>ORÇAMENTO!I15</f>
        <v>1343.82</v>
      </c>
      <c r="M15" s="259"/>
    </row>
    <row r="16" spans="1:13" s="158" customFormat="1" ht="3.75" customHeight="1">
      <c r="A16" s="248"/>
      <c r="B16" s="250"/>
      <c r="C16" s="222"/>
      <c r="D16" s="251"/>
      <c r="E16" s="256"/>
      <c r="F16" s="52"/>
      <c r="G16" s="163"/>
      <c r="H16" s="164"/>
      <c r="I16" s="164"/>
      <c r="J16" s="163"/>
      <c r="K16" s="164"/>
      <c r="L16" s="260"/>
      <c r="M16" s="261"/>
    </row>
    <row r="17" spans="1:13" s="158" customFormat="1" ht="11.25" customHeight="1" thickBot="1">
      <c r="A17" s="249"/>
      <c r="B17" s="252"/>
      <c r="C17" s="253"/>
      <c r="D17" s="254"/>
      <c r="E17" s="257"/>
      <c r="F17" s="57">
        <f>$L15*F15</f>
        <v>1343.82</v>
      </c>
      <c r="G17" s="57"/>
      <c r="H17" s="51"/>
      <c r="I17" s="51"/>
      <c r="J17" s="57"/>
      <c r="K17" s="51"/>
      <c r="L17" s="262"/>
      <c r="M17" s="263"/>
    </row>
    <row r="18" spans="1:13" s="158" customFormat="1" ht="11.25" customHeight="1">
      <c r="A18" s="248">
        <v>2</v>
      </c>
      <c r="B18" s="250" t="str">
        <f>ORÇAMENTO!D17</f>
        <v>PAVIMENTAÇÃO</v>
      </c>
      <c r="C18" s="222"/>
      <c r="D18" s="251"/>
      <c r="E18" s="255">
        <f>L18/$L$21</f>
        <v>0.9973159449313119</v>
      </c>
      <c r="F18" s="372">
        <f>1/6</f>
        <v>0.16666666666666666</v>
      </c>
      <c r="G18" s="372">
        <f>1/6</f>
        <v>0.16666666666666666</v>
      </c>
      <c r="H18" s="372">
        <f>1/6</f>
        <v>0.16666666666666666</v>
      </c>
      <c r="I18" s="372">
        <f>1/6</f>
        <v>0.16666666666666666</v>
      </c>
      <c r="J18" s="372">
        <f>1/6</f>
        <v>0.16666666666666666</v>
      </c>
      <c r="K18" s="372">
        <f>1/6</f>
        <v>0.16666666666666666</v>
      </c>
      <c r="L18" s="260">
        <f>ORÇAMENTO!I17</f>
        <v>499324</v>
      </c>
      <c r="M18" s="261"/>
    </row>
    <row r="19" spans="1:13" s="158" customFormat="1" ht="3.75" customHeight="1">
      <c r="A19" s="248"/>
      <c r="B19" s="250"/>
      <c r="C19" s="222"/>
      <c r="D19" s="251"/>
      <c r="E19" s="256"/>
      <c r="F19" s="52"/>
      <c r="G19" s="52"/>
      <c r="H19" s="52"/>
      <c r="I19" s="52"/>
      <c r="J19" s="52"/>
      <c r="K19" s="52"/>
      <c r="L19" s="260"/>
      <c r="M19" s="261"/>
    </row>
    <row r="20" spans="1:13" s="158" customFormat="1" ht="11.25" customHeight="1" thickBot="1">
      <c r="A20" s="249"/>
      <c r="B20" s="252"/>
      <c r="C20" s="253"/>
      <c r="D20" s="254"/>
      <c r="E20" s="257"/>
      <c r="F20" s="57">
        <f>$L18*F18</f>
        <v>83220.66666666666</v>
      </c>
      <c r="G20" s="57">
        <f>$L18*G18</f>
        <v>83220.66666666666</v>
      </c>
      <c r="H20" s="57">
        <f>$L18*H18</f>
        <v>83220.66666666666</v>
      </c>
      <c r="I20" s="57">
        <f>$L18*I18</f>
        <v>83220.66666666666</v>
      </c>
      <c r="J20" s="57">
        <f>$L18*J18</f>
        <v>83220.66666666666</v>
      </c>
      <c r="K20" s="57">
        <f>$L18*K18</f>
        <v>83220.66666666666</v>
      </c>
      <c r="L20" s="262"/>
      <c r="M20" s="263"/>
    </row>
    <row r="21" spans="1:17" s="158" customFormat="1" ht="7.5" customHeight="1">
      <c r="A21" s="303" t="s">
        <v>5</v>
      </c>
      <c r="B21" s="304"/>
      <c r="C21" s="304"/>
      <c r="D21" s="305"/>
      <c r="E21" s="307">
        <f>SUM(E15:E20)</f>
        <v>1</v>
      </c>
      <c r="F21" s="301">
        <f>SUM(F17,F20)</f>
        <v>84564.48666666666</v>
      </c>
      <c r="G21" s="301">
        <f>SUM(G17,G20)</f>
        <v>83220.66666666666</v>
      </c>
      <c r="H21" s="301">
        <f>SUM(H17,H20)</f>
        <v>83220.66666666666</v>
      </c>
      <c r="I21" s="301">
        <f>SUM(I17,I20)</f>
        <v>83220.66666666666</v>
      </c>
      <c r="J21" s="301">
        <f>SUM(J17,J20)</f>
        <v>83220.66666666666</v>
      </c>
      <c r="K21" s="301">
        <f>SUM(K17,K20)</f>
        <v>83220.66666666666</v>
      </c>
      <c r="L21" s="311">
        <f>SUM(L15:M20)</f>
        <v>500667.82</v>
      </c>
      <c r="M21" s="312"/>
      <c r="O21" s="306">
        <f>ORÇAMENTO!H20</f>
        <v>500667.82</v>
      </c>
      <c r="P21" s="306">
        <f>SUM(F21:K22)</f>
        <v>500667.81999999995</v>
      </c>
      <c r="Q21" s="165"/>
    </row>
    <row r="22" spans="1:17" s="158" customFormat="1" ht="11.25" customHeight="1" thickBot="1">
      <c r="A22" s="287"/>
      <c r="B22" s="288"/>
      <c r="C22" s="288"/>
      <c r="D22" s="289"/>
      <c r="E22" s="308"/>
      <c r="F22" s="302"/>
      <c r="G22" s="302"/>
      <c r="H22" s="302"/>
      <c r="I22" s="302"/>
      <c r="J22" s="302"/>
      <c r="K22" s="302"/>
      <c r="L22" s="313"/>
      <c r="M22" s="314"/>
      <c r="O22" s="306"/>
      <c r="P22" s="306"/>
      <c r="Q22" s="166"/>
    </row>
    <row r="23" spans="15:19" s="158" customFormat="1" ht="7.5" customHeight="1">
      <c r="O23" s="167"/>
      <c r="P23" s="168"/>
      <c r="Q23" s="165"/>
      <c r="R23" s="166"/>
      <c r="S23" s="166"/>
    </row>
    <row r="24" spans="7:19" s="158" customFormat="1" ht="13.5">
      <c r="G24" s="310"/>
      <c r="H24" s="310"/>
      <c r="I24" s="310"/>
      <c r="J24" s="310"/>
      <c r="K24" s="310"/>
      <c r="L24" s="310"/>
      <c r="M24" s="310"/>
      <c r="O24" s="167">
        <f>O21-P21</f>
        <v>0</v>
      </c>
      <c r="P24" s="166"/>
      <c r="Q24" s="166"/>
      <c r="R24" s="166"/>
      <c r="S24" s="166"/>
    </row>
    <row r="25" spans="1:19" s="158" customFormat="1" ht="16.5" customHeight="1">
      <c r="A25" s="3" t="str">
        <f>ORÇAMENTO!A22</f>
        <v>Ipixuna do Pará (PA),</v>
      </c>
      <c r="B25" s="3"/>
      <c r="C25" s="264">
        <f>ORÇAMENTO!D22</f>
        <v>44783</v>
      </c>
      <c r="D25" s="264"/>
      <c r="E25" s="264"/>
      <c r="F25" s="3"/>
      <c r="G25" s="3"/>
      <c r="H25" s="3"/>
      <c r="I25" s="3"/>
      <c r="J25" s="3"/>
      <c r="K25" s="3"/>
      <c r="L25" s="3"/>
      <c r="O25" s="167"/>
      <c r="P25" s="166"/>
      <c r="Q25" s="166"/>
      <c r="R25" s="166"/>
      <c r="S25" s="166"/>
    </row>
    <row r="26" spans="1:19" s="158" customFormat="1" ht="14.2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O26" s="167"/>
      <c r="P26" s="166"/>
      <c r="Q26" s="166"/>
      <c r="R26" s="166"/>
      <c r="S26" s="166"/>
    </row>
    <row r="27" spans="1:19" s="158" customFormat="1" ht="14.2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O27" s="167"/>
      <c r="P27" s="166"/>
      <c r="Q27" s="166"/>
      <c r="R27" s="166"/>
      <c r="S27" s="166"/>
    </row>
    <row r="28" spans="1:19" s="158" customFormat="1" ht="14.2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O28" s="167"/>
      <c r="P28" s="166"/>
      <c r="Q28" s="166"/>
      <c r="R28" s="166"/>
      <c r="S28" s="166"/>
    </row>
    <row r="29" spans="1:19" s="158" customFormat="1" ht="14.2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O29" s="167"/>
      <c r="P29" s="166"/>
      <c r="Q29" s="166"/>
      <c r="R29" s="166"/>
      <c r="S29" s="166"/>
    </row>
    <row r="30" spans="1:19" s="158" customFormat="1" ht="14.2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O30" s="167"/>
      <c r="P30" s="166"/>
      <c r="Q30" s="166"/>
      <c r="R30" s="166"/>
      <c r="S30" s="166"/>
    </row>
    <row r="31" spans="1:19" s="158" customFormat="1" ht="14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O31" s="167"/>
      <c r="P31" s="166"/>
      <c r="Q31" s="166"/>
      <c r="R31" s="166"/>
      <c r="S31" s="166"/>
    </row>
    <row r="32" spans="1:19" s="158" customFormat="1" ht="14.25" customHeight="1">
      <c r="A32" s="3"/>
      <c r="B32" s="3"/>
      <c r="C32" s="169"/>
      <c r="D32" s="3"/>
      <c r="E32" s="3"/>
      <c r="F32" s="3"/>
      <c r="G32" s="3"/>
      <c r="H32" s="3"/>
      <c r="I32" s="3"/>
      <c r="J32" s="3"/>
      <c r="K32" s="3"/>
      <c r="L32" s="169"/>
      <c r="O32" s="166"/>
      <c r="P32" s="166"/>
      <c r="Q32" s="166"/>
      <c r="R32" s="166"/>
      <c r="S32" s="166"/>
    </row>
    <row r="33" spans="1:14" s="158" customFormat="1" ht="13.5">
      <c r="A33" s="3" t="str">
        <f>ORÇAMENTO!A29</f>
        <v>TÉCNICO RESPONSÁVEL: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N33" s="166"/>
    </row>
    <row r="34" s="158" customFormat="1" ht="12.75">
      <c r="A34" s="3" t="str">
        <f>ORÇAMENTO!A30</f>
        <v>ENG. CIVIL ALICE MORAIS</v>
      </c>
    </row>
    <row r="35" s="158" customFormat="1" ht="12.75">
      <c r="A35" s="3" t="str">
        <f>ORÇAMENTO!A31</f>
        <v>CREA 151.686.693-2</v>
      </c>
    </row>
    <row r="37" spans="6:12" ht="13.5">
      <c r="F37" s="54"/>
      <c r="G37" s="54"/>
      <c r="H37" s="15"/>
      <c r="I37" s="54"/>
      <c r="J37" s="54"/>
      <c r="K37" s="15"/>
      <c r="L37" s="55"/>
    </row>
    <row r="38" spans="6:12" ht="13.5">
      <c r="F38" s="54"/>
      <c r="G38" s="54"/>
      <c r="H38" s="54"/>
      <c r="I38" s="54"/>
      <c r="J38" s="54"/>
      <c r="K38" s="54"/>
      <c r="L38" s="55"/>
    </row>
    <row r="39" spans="6:11" ht="12.75">
      <c r="F39" s="54"/>
      <c r="G39" s="54"/>
      <c r="H39" s="54"/>
      <c r="I39" s="54"/>
      <c r="J39" s="54"/>
      <c r="K39" s="54"/>
    </row>
    <row r="40" spans="6:12" ht="13.5">
      <c r="F40" s="54"/>
      <c r="G40" s="54"/>
      <c r="H40" s="54"/>
      <c r="I40" s="54"/>
      <c r="J40" s="54"/>
      <c r="K40" s="54"/>
      <c r="L40" s="55"/>
    </row>
    <row r="41" spans="6:12" ht="12.75">
      <c r="F41" s="54"/>
      <c r="G41" s="54"/>
      <c r="H41" s="54"/>
      <c r="I41" s="54"/>
      <c r="J41" s="54"/>
      <c r="K41" s="54"/>
      <c r="L41" s="54"/>
    </row>
  </sheetData>
  <sheetProtection/>
  <mergeCells count="33">
    <mergeCell ref="P21:P22"/>
    <mergeCell ref="A7:F7"/>
    <mergeCell ref="G24:M24"/>
    <mergeCell ref="L21:M22"/>
    <mergeCell ref="F21:F22"/>
    <mergeCell ref="I21:I22"/>
    <mergeCell ref="J21:J22"/>
    <mergeCell ref="K21:K22"/>
    <mergeCell ref="H21:H22"/>
    <mergeCell ref="A21:D22"/>
    <mergeCell ref="A18:A20"/>
    <mergeCell ref="E18:E20"/>
    <mergeCell ref="O21:O22"/>
    <mergeCell ref="G21:G22"/>
    <mergeCell ref="E21:E22"/>
    <mergeCell ref="B18:D20"/>
    <mergeCell ref="A8:E8"/>
    <mergeCell ref="E12:M13"/>
    <mergeCell ref="A12:A14"/>
    <mergeCell ref="L14:M14"/>
    <mergeCell ref="A11:E11"/>
    <mergeCell ref="F10:M10"/>
    <mergeCell ref="B12:D14"/>
    <mergeCell ref="A15:A17"/>
    <mergeCell ref="B15:D17"/>
    <mergeCell ref="E15:E17"/>
    <mergeCell ref="L15:M17"/>
    <mergeCell ref="C25:E25"/>
    <mergeCell ref="F8:M8"/>
    <mergeCell ref="F9:M9"/>
    <mergeCell ref="A9:E9"/>
    <mergeCell ref="L18:M20"/>
    <mergeCell ref="A10:E10"/>
  </mergeCells>
  <printOptions horizontalCentered="1"/>
  <pageMargins left="0.2755905511811024" right="0.2362204724409449" top="0.5511811023622047" bottom="0.5905511811023623" header="0.35433070866141736" footer="0.5118110236220472"/>
  <pageSetup fitToHeight="1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4"/>
  <sheetViews>
    <sheetView view="pageBreakPreview" zoomScale="85" zoomScaleSheetLayoutView="85" zoomScalePageLayoutView="0" workbookViewId="0" topLeftCell="A16">
      <selection activeCell="N28" sqref="N28"/>
    </sheetView>
  </sheetViews>
  <sheetFormatPr defaultColWidth="9.140625" defaultRowHeight="12.75"/>
  <cols>
    <col min="1" max="2" width="1.7109375" style="0" customWidth="1"/>
    <col min="3" max="3" width="2.421875" style="0" customWidth="1"/>
    <col min="4" max="4" width="9.421875" style="0" customWidth="1"/>
    <col min="5" max="5" width="29.00390625" style="0" customWidth="1"/>
    <col min="6" max="6" width="15.00390625" style="0" customWidth="1"/>
    <col min="11" max="11" width="11.140625" style="0" customWidth="1"/>
    <col min="12" max="12" width="2.421875" style="0" customWidth="1"/>
    <col min="13" max="13" width="2.140625" style="0" customWidth="1"/>
    <col min="16" max="16" width="9.28125" style="0" bestFit="1" customWidth="1"/>
    <col min="18" max="18" width="18.00390625" style="0" bestFit="1" customWidth="1"/>
    <col min="19" max="19" width="9.28125" style="0" bestFit="1" customWidth="1"/>
  </cols>
  <sheetData>
    <row r="1" spans="16:26" ht="7.5" customHeight="1">
      <c r="P1" s="59"/>
      <c r="Q1" s="59"/>
      <c r="R1" s="59"/>
      <c r="S1" s="338" t="s">
        <v>46</v>
      </c>
      <c r="T1" s="339"/>
      <c r="U1" s="59"/>
      <c r="V1" s="59"/>
      <c r="W1" s="59"/>
      <c r="X1" s="59"/>
      <c r="Y1" s="59"/>
      <c r="Z1" s="59"/>
    </row>
    <row r="2" spans="3:26" ht="12.75">
      <c r="C2" s="60"/>
      <c r="D2" s="61"/>
      <c r="E2" s="61"/>
      <c r="F2" s="61"/>
      <c r="G2" s="61"/>
      <c r="H2" s="61"/>
      <c r="I2" s="61"/>
      <c r="J2" s="61"/>
      <c r="K2" s="61"/>
      <c r="L2" s="62"/>
      <c r="P2" s="59"/>
      <c r="Q2" s="59"/>
      <c r="R2" s="59"/>
      <c r="S2" s="339"/>
      <c r="T2" s="339"/>
      <c r="U2" s="59"/>
      <c r="V2" s="59"/>
      <c r="W2" s="59"/>
      <c r="X2" s="59"/>
      <c r="Y2" s="59"/>
      <c r="Z2" s="59"/>
    </row>
    <row r="3" spans="3:26" ht="12.75">
      <c r="C3" s="63"/>
      <c r="D3" s="64"/>
      <c r="E3" s="64"/>
      <c r="F3" s="65" t="str">
        <f>ORÇAMENTO!C5</f>
        <v>PAVIMENTAÇÃO DE VIAS COM BLOCO DE CONCRETO INTERTRAVADO</v>
      </c>
      <c r="G3" s="64"/>
      <c r="H3" s="64"/>
      <c r="I3" s="64"/>
      <c r="J3" s="64"/>
      <c r="K3" s="64"/>
      <c r="L3" s="66"/>
      <c r="P3" s="59"/>
      <c r="Q3" s="59"/>
      <c r="R3" s="59"/>
      <c r="S3" s="339"/>
      <c r="T3" s="339"/>
      <c r="U3" s="59"/>
      <c r="V3" s="59"/>
      <c r="W3" s="59"/>
      <c r="X3" s="59"/>
      <c r="Y3" s="59"/>
      <c r="Z3" s="59"/>
    </row>
    <row r="4" spans="3:26" ht="12.75">
      <c r="C4" s="63"/>
      <c r="D4" s="64"/>
      <c r="E4" s="64"/>
      <c r="F4" s="340"/>
      <c r="G4" s="340"/>
      <c r="H4" s="340"/>
      <c r="I4" s="340"/>
      <c r="J4" s="340"/>
      <c r="K4" s="340"/>
      <c r="L4" s="66"/>
      <c r="P4" s="59"/>
      <c r="Q4" s="59"/>
      <c r="R4" s="59"/>
      <c r="S4" s="339"/>
      <c r="T4" s="339"/>
      <c r="U4" s="59"/>
      <c r="V4" s="59"/>
      <c r="W4" s="59"/>
      <c r="X4" s="59"/>
      <c r="Y4" s="59"/>
      <c r="Z4" s="59"/>
    </row>
    <row r="5" spans="3:26" ht="12.75">
      <c r="C5" s="63"/>
      <c r="D5" s="64"/>
      <c r="E5" s="64"/>
      <c r="F5" s="340"/>
      <c r="G5" s="340"/>
      <c r="H5" s="340"/>
      <c r="I5" s="340"/>
      <c r="J5" s="340"/>
      <c r="K5" s="340"/>
      <c r="L5" s="66"/>
      <c r="P5" s="59"/>
      <c r="Q5" s="59"/>
      <c r="R5" s="59"/>
      <c r="S5" s="339"/>
      <c r="T5" s="339"/>
      <c r="U5" s="59"/>
      <c r="V5" s="59"/>
      <c r="W5" s="59"/>
      <c r="X5" s="59"/>
      <c r="Y5" s="59"/>
      <c r="Z5" s="59"/>
    </row>
    <row r="6" spans="3:26" s="72" customFormat="1" ht="19.5" customHeight="1">
      <c r="C6" s="67"/>
      <c r="D6" s="59"/>
      <c r="E6" s="59"/>
      <c r="F6" s="68" t="s">
        <v>47</v>
      </c>
      <c r="G6" s="69"/>
      <c r="H6" s="68" t="s">
        <v>48</v>
      </c>
      <c r="I6" s="69"/>
      <c r="J6" s="68" t="s">
        <v>49</v>
      </c>
      <c r="K6" s="70">
        <f ca="1">TODAY()</f>
        <v>44783</v>
      </c>
      <c r="L6" s="71"/>
      <c r="P6" s="59"/>
      <c r="Q6" s="59"/>
      <c r="R6" s="59"/>
      <c r="S6" s="339"/>
      <c r="T6" s="339"/>
      <c r="U6" s="59"/>
      <c r="V6" s="59"/>
      <c r="W6" s="59"/>
      <c r="X6" s="59"/>
      <c r="Y6" s="59"/>
      <c r="Z6" s="59"/>
    </row>
    <row r="7" spans="3:26" s="72" customFormat="1" ht="19.5" customHeight="1">
      <c r="C7" s="67"/>
      <c r="D7" s="59"/>
      <c r="E7" s="59"/>
      <c r="F7" s="68" t="s">
        <v>50</v>
      </c>
      <c r="G7" s="341" t="s">
        <v>51</v>
      </c>
      <c r="H7" s="341"/>
      <c r="I7" s="341"/>
      <c r="J7" s="341"/>
      <c r="K7" s="341"/>
      <c r="L7" s="71"/>
      <c r="P7" s="59"/>
      <c r="Q7" s="59"/>
      <c r="R7" s="59"/>
      <c r="S7" s="339"/>
      <c r="T7" s="339"/>
      <c r="U7" s="59"/>
      <c r="V7" s="59"/>
      <c r="W7" s="59"/>
      <c r="X7" s="59"/>
      <c r="Y7" s="59"/>
      <c r="Z7" s="59"/>
    </row>
    <row r="8" spans="3:26" s="72" customFormat="1" ht="19.5" customHeight="1">
      <c r="C8" s="67"/>
      <c r="D8" s="59"/>
      <c r="E8" s="59"/>
      <c r="F8" s="68" t="s">
        <v>52</v>
      </c>
      <c r="G8" s="342" t="s">
        <v>53</v>
      </c>
      <c r="H8" s="342"/>
      <c r="I8" s="342"/>
      <c r="J8" s="342"/>
      <c r="K8" s="342"/>
      <c r="L8" s="71"/>
      <c r="P8" s="59"/>
      <c r="Q8" s="59"/>
      <c r="R8" s="59"/>
      <c r="S8" s="339"/>
      <c r="T8" s="339"/>
      <c r="U8" s="59"/>
      <c r="V8" s="59"/>
      <c r="W8" s="59"/>
      <c r="X8" s="59"/>
      <c r="Y8" s="59"/>
      <c r="Z8" s="59"/>
    </row>
    <row r="9" spans="3:26" ht="18.75">
      <c r="C9" s="73"/>
      <c r="D9" s="343" t="s">
        <v>54</v>
      </c>
      <c r="E9" s="343"/>
      <c r="F9" s="343"/>
      <c r="G9" s="343"/>
      <c r="H9" s="343"/>
      <c r="I9" s="343"/>
      <c r="J9" s="343"/>
      <c r="K9" s="343"/>
      <c r="L9" s="74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</row>
    <row r="10" spans="3:26" ht="4.5" customHeight="1" thickBot="1">
      <c r="C10" s="73"/>
      <c r="D10" s="344"/>
      <c r="E10" s="344"/>
      <c r="F10" s="344"/>
      <c r="G10" s="344"/>
      <c r="H10" s="344"/>
      <c r="I10" s="344"/>
      <c r="J10" s="344"/>
      <c r="K10" s="344"/>
      <c r="L10" s="74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</row>
    <row r="11" spans="3:26" ht="33" customHeight="1" thickBot="1" thickTop="1">
      <c r="C11" s="73"/>
      <c r="D11" s="75" t="s">
        <v>55</v>
      </c>
      <c r="E11" s="319" t="s">
        <v>56</v>
      </c>
      <c r="F11" s="319"/>
      <c r="G11" s="319"/>
      <c r="H11" s="319"/>
      <c r="I11" s="319"/>
      <c r="J11" s="319"/>
      <c r="K11" s="76" t="s">
        <v>57</v>
      </c>
      <c r="L11" s="74"/>
      <c r="P11" s="59"/>
      <c r="Q11" s="77" t="s">
        <v>52</v>
      </c>
      <c r="R11" s="345" t="str">
        <f>G8</f>
        <v>CONSTRUÇÃO DE EDIFÍCIOS</v>
      </c>
      <c r="S11" s="345"/>
      <c r="T11" s="345"/>
      <c r="U11" s="345"/>
      <c r="V11" s="345"/>
      <c r="W11" s="345"/>
      <c r="X11" s="345"/>
      <c r="Y11" s="345"/>
      <c r="Z11" s="346"/>
    </row>
    <row r="12" spans="3:26" ht="4.5" customHeight="1" thickBot="1" thickTop="1">
      <c r="C12" s="73"/>
      <c r="L12" s="74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</row>
    <row r="13" spans="3:26" ht="19.5" customHeight="1" thickBot="1">
      <c r="C13" s="73"/>
      <c r="D13" s="78" t="s">
        <v>58</v>
      </c>
      <c r="E13" s="322" t="s">
        <v>59</v>
      </c>
      <c r="F13" s="323"/>
      <c r="G13" s="323"/>
      <c r="H13" s="323"/>
      <c r="I13" s="323"/>
      <c r="J13" s="323"/>
      <c r="K13" s="79">
        <v>0.0401</v>
      </c>
      <c r="L13" s="74"/>
      <c r="P13" s="352" t="s">
        <v>60</v>
      </c>
      <c r="Q13" s="353"/>
      <c r="R13" s="353"/>
      <c r="S13" s="353"/>
      <c r="T13" s="353"/>
      <c r="U13" s="353"/>
      <c r="V13" s="353"/>
      <c r="W13" s="353"/>
      <c r="X13" s="354">
        <v>1000000</v>
      </c>
      <c r="Y13" s="355"/>
      <c r="Z13" s="356"/>
    </row>
    <row r="14" spans="3:26" ht="19.5" customHeight="1">
      <c r="C14" s="73"/>
      <c r="D14" s="80"/>
      <c r="E14" s="81"/>
      <c r="F14" s="82"/>
      <c r="G14" s="82"/>
      <c r="H14" s="82"/>
      <c r="I14" s="82"/>
      <c r="J14" s="83"/>
      <c r="K14" s="84"/>
      <c r="L14" s="74"/>
      <c r="P14" s="330" t="s">
        <v>0</v>
      </c>
      <c r="Q14" s="330" t="s">
        <v>36</v>
      </c>
      <c r="R14" s="330" t="s">
        <v>61</v>
      </c>
      <c r="S14" s="330" t="s">
        <v>62</v>
      </c>
      <c r="T14" s="330" t="s">
        <v>63</v>
      </c>
      <c r="U14" s="347" t="s">
        <v>64</v>
      </c>
      <c r="V14" s="349" t="s">
        <v>65</v>
      </c>
      <c r="W14" s="321"/>
      <c r="X14" s="350"/>
      <c r="Y14" s="351" t="s">
        <v>66</v>
      </c>
      <c r="Z14" s="320" t="s">
        <v>67</v>
      </c>
    </row>
    <row r="15" spans="3:26" ht="19.5" customHeight="1">
      <c r="C15" s="73"/>
      <c r="D15" s="78" t="s">
        <v>68</v>
      </c>
      <c r="E15" s="322" t="s">
        <v>69</v>
      </c>
      <c r="F15" s="323"/>
      <c r="G15" s="323"/>
      <c r="H15" s="323"/>
      <c r="I15" s="323"/>
      <c r="J15" s="323"/>
      <c r="K15" s="79">
        <v>0.0111</v>
      </c>
      <c r="L15" s="74"/>
      <c r="P15" s="331"/>
      <c r="Q15" s="331"/>
      <c r="R15" s="331"/>
      <c r="S15" s="331"/>
      <c r="T15" s="331"/>
      <c r="U15" s="348"/>
      <c r="V15" s="85" t="s">
        <v>70</v>
      </c>
      <c r="W15" s="86" t="s">
        <v>71</v>
      </c>
      <c r="X15" s="87" t="s">
        <v>72</v>
      </c>
      <c r="Y15" s="349"/>
      <c r="Z15" s="321"/>
    </row>
    <row r="16" spans="3:26" ht="19.5" customHeight="1">
      <c r="C16" s="73"/>
      <c r="D16" s="88"/>
      <c r="E16" s="89"/>
      <c r="F16" s="90"/>
      <c r="G16" s="90"/>
      <c r="H16" s="90"/>
      <c r="I16" s="90"/>
      <c r="J16" s="91"/>
      <c r="K16" s="92"/>
      <c r="L16" s="74"/>
      <c r="P16" s="93">
        <v>1</v>
      </c>
      <c r="Q16" s="94" t="s">
        <v>73</v>
      </c>
      <c r="R16" s="95">
        <f aca="true" t="shared" si="0" ref="R16:R21">$X$13*S16</f>
        <v>37000</v>
      </c>
      <c r="S16" s="96">
        <v>0.037</v>
      </c>
      <c r="T16" s="97"/>
      <c r="U16" s="98" t="str">
        <f>IF(AND(S16&gt;=V16,S16&lt;=X16),"OK","DIFERE")</f>
        <v>OK</v>
      </c>
      <c r="V16" s="99">
        <f>IF($R$11='[1]% de BDI '!$A$4,'[1]% de BDI '!I6,IF('[1]BDI-SERVIÇOS'!$R$11='[1]% de BDI '!$A$21,'[1]% de BDI '!I23,IF('[1]BDI-SERVIÇOS'!$R$11='[1]% de BDI '!$A$38,'[1]% de BDI '!I40,IF('[1]BDI-SERVIÇOS'!$R$11='[1]% de BDI '!$A$55,'[1]% de BDI '!I57,IF('[1]BDI-SERVIÇOS'!$R$11='[1]% de BDI '!$A$72,'[1]% de BDI '!I74,"")))))</f>
        <v>0.03</v>
      </c>
      <c r="W16" s="99">
        <f>IF($R$11='[1]% de BDI '!$A$4,'[1]% de BDI '!J6,IF('[1]BDI-SERVIÇOS'!$R$11='[1]% de BDI '!$A$21,'[1]% de BDI '!J23,IF('[1]BDI-SERVIÇOS'!$R$11='[1]% de BDI '!$A$38,'[1]% de BDI '!J40,IF('[1]BDI-SERVIÇOS'!$R$11='[1]% de BDI '!$A$55,'[1]% de BDI '!J57,IF('[1]BDI-SERVIÇOS'!$R$11='[1]% de BDI '!$A$72,'[1]% de BDI '!J74,"")))))</f>
        <v>0.04</v>
      </c>
      <c r="X16" s="99">
        <f>IF($R$11='[1]% de BDI '!$A$4,'[1]% de BDI '!K6,IF('[1]BDI-SERVIÇOS'!$R$11='[1]% de BDI '!$A$21,'[1]% de BDI '!K23,IF('[1]BDI-SERVIÇOS'!$R$11='[1]% de BDI '!$A$38,'[1]% de BDI '!K40,IF('[1]BDI-SERVIÇOS'!$R$11='[1]% de BDI '!$A$55,'[1]% de BDI '!K57,IF('[1]BDI-SERVIÇOS'!$R$11='[1]% de BDI '!$A$72,'[1]% de BDI '!K74,"")))))</f>
        <v>0.055</v>
      </c>
      <c r="Y16" s="93" t="s">
        <v>74</v>
      </c>
      <c r="Z16" s="94" t="s">
        <v>59</v>
      </c>
    </row>
    <row r="17" spans="3:26" ht="19.5" customHeight="1">
      <c r="C17" s="73"/>
      <c r="D17" s="78" t="s">
        <v>75</v>
      </c>
      <c r="E17" s="322" t="s">
        <v>76</v>
      </c>
      <c r="F17" s="322"/>
      <c r="G17" s="322"/>
      <c r="H17" s="322"/>
      <c r="I17" s="322"/>
      <c r="J17" s="322"/>
      <c r="K17" s="79">
        <f>SUM(K18:K20)</f>
        <v>0.009600000000000001</v>
      </c>
      <c r="L17" s="74"/>
      <c r="P17" s="93">
        <v>2</v>
      </c>
      <c r="Q17" s="94" t="s">
        <v>77</v>
      </c>
      <c r="R17" s="95">
        <f t="shared" si="0"/>
        <v>8000</v>
      </c>
      <c r="S17" s="96">
        <v>0.008</v>
      </c>
      <c r="T17" s="97"/>
      <c r="U17" s="98" t="str">
        <f>IF(AND(S17&gt;=V17,S17&lt;=X17),"OK","DIFERE")</f>
        <v>OK</v>
      </c>
      <c r="V17" s="99">
        <f>IF($R$11='[1]% de BDI '!$A$4,'[1]% de BDI '!I7,IF('[1]BDI-SERVIÇOS'!$R$11='[1]% de BDI '!$A$21,'[1]% de BDI '!I24,IF('[1]BDI-SERVIÇOS'!$R$11='[1]% de BDI '!$A$38,'[1]% de BDI '!I41,IF('[1]BDI-SERVIÇOS'!$R$11='[1]% de BDI '!$A$55,'[1]% de BDI '!I58,IF('[1]BDI-SERVIÇOS'!$R$11='[1]% de BDI '!$A$72,'[1]% de BDI '!I75,"")))))</f>
        <v>0.008</v>
      </c>
      <c r="W17" s="99">
        <f>IF($R$11='[1]% de BDI '!$A$4,'[1]% de BDI '!J7,IF('[1]BDI-SERVIÇOS'!$R$11='[1]% de BDI '!$A$21,'[1]% de BDI '!J24,IF('[1]BDI-SERVIÇOS'!$R$11='[1]% de BDI '!$A$38,'[1]% de BDI '!J41,IF('[1]BDI-SERVIÇOS'!$R$11='[1]% de BDI '!$A$55,'[1]% de BDI '!J58,IF('[1]BDI-SERVIÇOS'!$R$11='[1]% de BDI '!$A$72,'[1]% de BDI '!J75,"")))))</f>
        <v>0.008</v>
      </c>
      <c r="X17" s="99">
        <f>IF($R$11='[1]% de BDI '!$A$4,'[1]% de BDI '!K7,IF('[1]BDI-SERVIÇOS'!$R$11='[1]% de BDI '!$A$21,'[1]% de BDI '!K24,IF('[1]BDI-SERVIÇOS'!$R$11='[1]% de BDI '!$A$38,'[1]% de BDI '!K41,IF('[1]BDI-SERVIÇOS'!$R$11='[1]% de BDI '!$A$55,'[1]% de BDI '!K58,IF('[1]BDI-SERVIÇOS'!$R$11='[1]% de BDI '!$A$72,'[1]% de BDI '!K75,"")))))</f>
        <v>0.01</v>
      </c>
      <c r="Y17" s="93" t="s">
        <v>78</v>
      </c>
      <c r="Z17" s="94" t="s">
        <v>79</v>
      </c>
    </row>
    <row r="18" spans="3:26" ht="19.5" customHeight="1">
      <c r="C18" s="73"/>
      <c r="D18" s="100" t="s">
        <v>2</v>
      </c>
      <c r="E18" s="317" t="s">
        <v>80</v>
      </c>
      <c r="F18" s="318"/>
      <c r="G18" s="318"/>
      <c r="H18" s="318"/>
      <c r="I18" s="318"/>
      <c r="J18" s="318"/>
      <c r="K18" s="101">
        <v>0.002</v>
      </c>
      <c r="L18" s="74"/>
      <c r="P18" s="93">
        <v>3</v>
      </c>
      <c r="Q18" s="94" t="s">
        <v>81</v>
      </c>
      <c r="R18" s="95">
        <f t="shared" si="0"/>
        <v>9700</v>
      </c>
      <c r="S18" s="96">
        <v>0.0097</v>
      </c>
      <c r="T18" s="97"/>
      <c r="U18" s="98" t="str">
        <f>IF(AND(S18&gt;=V18,S18&lt;=X18),"OK","DIFERE")</f>
        <v>OK</v>
      </c>
      <c r="V18" s="99">
        <f>IF($R$11='[1]% de BDI '!$A$4,'[1]% de BDI '!I8,IF('[1]BDI-SERVIÇOS'!$R$11='[1]% de BDI '!$A$21,'[1]% de BDI '!I25,IF('[1]BDI-SERVIÇOS'!$R$11='[1]% de BDI '!$A$38,'[1]% de BDI '!I42,IF('[1]BDI-SERVIÇOS'!$R$11='[1]% de BDI '!$A$55,'[1]% de BDI '!I59,IF('[1]BDI-SERVIÇOS'!$R$11='[1]% de BDI '!$A$72,'[1]% de BDI '!I76,"")))))</f>
        <v>0.0097</v>
      </c>
      <c r="W18" s="99">
        <f>IF($R$11='[1]% de BDI '!$A$4,'[1]% de BDI '!J8,IF('[1]BDI-SERVIÇOS'!$R$11='[1]% de BDI '!$A$21,'[1]% de BDI '!J25,IF('[1]BDI-SERVIÇOS'!$R$11='[1]% de BDI '!$A$38,'[1]% de BDI '!J42,IF('[1]BDI-SERVIÇOS'!$R$11='[1]% de BDI '!$A$55,'[1]% de BDI '!J59,IF('[1]BDI-SERVIÇOS'!$R$11='[1]% de BDI '!$A$72,'[1]% de BDI '!J76,"")))))</f>
        <v>0.0127</v>
      </c>
      <c r="X18" s="99">
        <f>IF($R$11='[1]% de BDI '!$A$4,'[1]% de BDI '!K8,IF('[1]BDI-SERVIÇOS'!$R$11='[1]% de BDI '!$A$21,'[1]% de BDI '!K25,IF('[1]BDI-SERVIÇOS'!$R$11='[1]% de BDI '!$A$38,'[1]% de BDI '!K42,IF('[1]BDI-SERVIÇOS'!$R$11='[1]% de BDI '!$A$55,'[1]% de BDI '!K59,IF('[1]BDI-SERVIÇOS'!$R$11='[1]% de BDI '!$A$72,'[1]% de BDI '!K76,"")))))</f>
        <v>0.0127</v>
      </c>
      <c r="Y18" s="93" t="s">
        <v>82</v>
      </c>
      <c r="Z18" s="94" t="s">
        <v>83</v>
      </c>
    </row>
    <row r="19" spans="3:26" ht="19.5" customHeight="1">
      <c r="C19" s="73"/>
      <c r="D19" s="100" t="s">
        <v>19</v>
      </c>
      <c r="E19" s="317" t="s">
        <v>84</v>
      </c>
      <c r="F19" s="318"/>
      <c r="G19" s="318"/>
      <c r="H19" s="318"/>
      <c r="I19" s="318"/>
      <c r="J19" s="318"/>
      <c r="K19" s="101">
        <v>0.002</v>
      </c>
      <c r="L19" s="74"/>
      <c r="P19" s="93">
        <v>4</v>
      </c>
      <c r="Q19" s="94" t="s">
        <v>85</v>
      </c>
      <c r="R19" s="95">
        <f t="shared" si="0"/>
        <v>5900</v>
      </c>
      <c r="S19" s="96">
        <v>0.0059</v>
      </c>
      <c r="T19" s="97"/>
      <c r="U19" s="98" t="str">
        <f>IF(AND(S19&gt;=V19,S19&lt;=X19),"OK","DIFERE")</f>
        <v>OK</v>
      </c>
      <c r="V19" s="99">
        <f>IF($R$11='[1]% de BDI '!$A$4,'[1]% de BDI '!I9,IF('[1]BDI-SERVIÇOS'!$R$11='[1]% de BDI '!$A$21,'[1]% de BDI '!I26,IF('[1]BDI-SERVIÇOS'!$R$11='[1]% de BDI '!$A$38,'[1]% de BDI '!I43,IF('[1]BDI-SERVIÇOS'!$R$11='[1]% de BDI '!$A$55,'[1]% de BDI '!I60,IF('[1]BDI-SERVIÇOS'!$R$11='[1]% de BDI '!$A$72,'[1]% de BDI '!I77,"")))))</f>
        <v>0.0059</v>
      </c>
      <c r="W19" s="99">
        <f>IF($R$11='[1]% de BDI '!$A$4,'[1]% de BDI '!J9,IF('[1]BDI-SERVIÇOS'!$R$11='[1]% de BDI '!$A$21,'[1]% de BDI '!J26,IF('[1]BDI-SERVIÇOS'!$R$11='[1]% de BDI '!$A$38,'[1]% de BDI '!J43,IF('[1]BDI-SERVIÇOS'!$R$11='[1]% de BDI '!$A$55,'[1]% de BDI '!J60,IF('[1]BDI-SERVIÇOS'!$R$11='[1]% de BDI '!$A$72,'[1]% de BDI '!J77,"")))))</f>
        <v>0.0123</v>
      </c>
      <c r="X19" s="99">
        <f>IF($R$11='[1]% de BDI '!$A$4,'[1]% de BDI '!K9,IF('[1]BDI-SERVIÇOS'!$R$11='[1]% de BDI '!$A$21,'[1]% de BDI '!K26,IF('[1]BDI-SERVIÇOS'!$R$11='[1]% de BDI '!$A$38,'[1]% de BDI '!K43,IF('[1]BDI-SERVIÇOS'!$R$11='[1]% de BDI '!$A$55,'[1]% de BDI '!K60,IF('[1]BDI-SERVIÇOS'!$R$11='[1]% de BDI '!$A$72,'[1]% de BDI '!K77,"")))))</f>
        <v>0.0139</v>
      </c>
      <c r="Y19" s="93" t="s">
        <v>86</v>
      </c>
      <c r="Z19" s="94" t="s">
        <v>69</v>
      </c>
    </row>
    <row r="20" spans="3:26" ht="19.5" customHeight="1">
      <c r="C20" s="73"/>
      <c r="D20" s="100" t="s">
        <v>20</v>
      </c>
      <c r="E20" s="317" t="s">
        <v>87</v>
      </c>
      <c r="F20" s="318"/>
      <c r="G20" s="318"/>
      <c r="H20" s="318"/>
      <c r="I20" s="318"/>
      <c r="J20" s="318"/>
      <c r="K20" s="101">
        <v>0.0056</v>
      </c>
      <c r="L20" s="74"/>
      <c r="P20" s="93">
        <v>5</v>
      </c>
      <c r="Q20" s="94" t="s">
        <v>88</v>
      </c>
      <c r="R20" s="95">
        <f t="shared" si="0"/>
        <v>61600</v>
      </c>
      <c r="S20" s="96">
        <v>0.0616</v>
      </c>
      <c r="T20" s="97"/>
      <c r="U20" s="98" t="str">
        <f>IF(AND(S20&gt;=V20,S20&lt;=X20),"OK","DIFERE")</f>
        <v>OK</v>
      </c>
      <c r="V20" s="99">
        <f>IF($R$11='[1]% de BDI '!$A$4,'[1]% de BDI '!I10,IF('[1]BDI-SERVIÇOS'!$R$11='[1]% de BDI '!$A$21,'[1]% de BDI '!I27,IF('[1]BDI-SERVIÇOS'!$R$11='[1]% de BDI '!$A$38,'[1]% de BDI '!I44,IF('[1]BDI-SERVIÇOS'!$R$11='[1]% de BDI '!$A$55,'[1]% de BDI '!I61,IF('[1]BDI-SERVIÇOS'!$R$11='[1]% de BDI '!$A$72,'[1]% de BDI '!I78,"")))))</f>
        <v>0.0616</v>
      </c>
      <c r="W20" s="99">
        <f>IF($R$11='[1]% de BDI '!$A$4,'[1]% de BDI '!J10,IF('[1]BDI-SERVIÇOS'!$R$11='[1]% de BDI '!$A$21,'[1]% de BDI '!J27,IF('[1]BDI-SERVIÇOS'!$R$11='[1]% de BDI '!$A$38,'[1]% de BDI '!J44,IF('[1]BDI-SERVIÇOS'!$R$11='[1]% de BDI '!$A$55,'[1]% de BDI '!J61,IF('[1]BDI-SERVIÇOS'!$R$11='[1]% de BDI '!$A$72,'[1]% de BDI '!J78,"")))))</f>
        <v>0.074</v>
      </c>
      <c r="X20" s="99">
        <f>IF($R$11='[1]% de BDI '!$A$4,'[1]% de BDI '!K10,IF('[1]BDI-SERVIÇOS'!$R$11='[1]% de BDI '!$A$21,'[1]% de BDI '!K27,IF('[1]BDI-SERVIÇOS'!$R$11='[1]% de BDI '!$A$38,'[1]% de BDI '!K44,IF('[1]BDI-SERVIÇOS'!$R$11='[1]% de BDI '!$A$55,'[1]% de BDI '!K61,IF('[1]BDI-SERVIÇOS'!$R$11='[1]% de BDI '!$A$72,'[1]% de BDI '!K78,"")))))</f>
        <v>0.0896</v>
      </c>
      <c r="Y20" s="93" t="s">
        <v>89</v>
      </c>
      <c r="Z20" s="94" t="s">
        <v>90</v>
      </c>
    </row>
    <row r="21" spans="3:26" ht="19.5" customHeight="1">
      <c r="C21" s="73"/>
      <c r="D21" s="88"/>
      <c r="E21" s="89"/>
      <c r="F21" s="90"/>
      <c r="G21" s="90"/>
      <c r="H21" s="90"/>
      <c r="I21" s="90"/>
      <c r="J21" s="91"/>
      <c r="K21" s="92"/>
      <c r="L21" s="74"/>
      <c r="P21" s="93">
        <v>6</v>
      </c>
      <c r="Q21" s="94" t="s">
        <v>91</v>
      </c>
      <c r="R21" s="95">
        <f t="shared" si="0"/>
        <v>106500</v>
      </c>
      <c r="S21" s="102">
        <f>SUM(S22:S25)</f>
        <v>0.1065</v>
      </c>
      <c r="T21" s="97"/>
      <c r="U21" s="103"/>
      <c r="V21" s="104"/>
      <c r="W21" s="104"/>
      <c r="X21" s="105"/>
      <c r="Y21" s="93" t="s">
        <v>92</v>
      </c>
      <c r="Z21" s="94" t="s">
        <v>93</v>
      </c>
    </row>
    <row r="22" spans="3:26" ht="19.5" customHeight="1">
      <c r="C22" s="73"/>
      <c r="D22" s="78" t="s">
        <v>94</v>
      </c>
      <c r="E22" s="322" t="s">
        <v>90</v>
      </c>
      <c r="F22" s="323"/>
      <c r="G22" s="323"/>
      <c r="H22" s="323"/>
      <c r="I22" s="323"/>
      <c r="J22" s="323"/>
      <c r="K22" s="79">
        <v>0.0697</v>
      </c>
      <c r="L22" s="74"/>
      <c r="P22" s="106" t="s">
        <v>10</v>
      </c>
      <c r="Q22" s="328" t="s">
        <v>95</v>
      </c>
      <c r="R22" s="329"/>
      <c r="S22" s="107">
        <v>0.0065</v>
      </c>
      <c r="T22" s="97"/>
      <c r="U22" s="108"/>
      <c r="V22" s="109"/>
      <c r="W22" s="109"/>
      <c r="X22" s="110"/>
      <c r="Y22" s="111"/>
      <c r="Z22" s="111"/>
    </row>
    <row r="23" spans="3:26" ht="19.5" customHeight="1">
      <c r="C23" s="73"/>
      <c r="D23" s="88"/>
      <c r="E23" s="89"/>
      <c r="F23" s="90"/>
      <c r="G23" s="90"/>
      <c r="H23" s="90"/>
      <c r="I23" s="90"/>
      <c r="J23" s="91"/>
      <c r="K23" s="92"/>
      <c r="L23" s="74"/>
      <c r="P23" s="106" t="s">
        <v>24</v>
      </c>
      <c r="Q23" s="328" t="s">
        <v>96</v>
      </c>
      <c r="R23" s="329"/>
      <c r="S23" s="107">
        <v>0.03</v>
      </c>
      <c r="T23" s="97"/>
      <c r="U23" s="108"/>
      <c r="V23" s="109"/>
      <c r="W23" s="109"/>
      <c r="X23" s="110"/>
      <c r="Y23" s="111"/>
      <c r="Z23" s="111"/>
    </row>
    <row r="24" spans="3:26" ht="19.5" customHeight="1">
      <c r="C24" s="73"/>
      <c r="D24" s="78" t="s">
        <v>97</v>
      </c>
      <c r="E24" s="322" t="s">
        <v>98</v>
      </c>
      <c r="F24" s="323"/>
      <c r="G24" s="323"/>
      <c r="H24" s="323"/>
      <c r="I24" s="323"/>
      <c r="J24" s="323"/>
      <c r="K24" s="79">
        <f>SUM(K25:K28)</f>
        <v>0.1065</v>
      </c>
      <c r="L24" s="74"/>
      <c r="P24" s="106" t="s">
        <v>21</v>
      </c>
      <c r="Q24" s="328" t="s">
        <v>99</v>
      </c>
      <c r="R24" s="329"/>
      <c r="S24" s="107">
        <v>0.025</v>
      </c>
      <c r="T24" s="97"/>
      <c r="U24" s="112"/>
      <c r="V24" s="113"/>
      <c r="W24" s="113"/>
      <c r="X24" s="114"/>
      <c r="Y24" s="111"/>
      <c r="Z24" s="111"/>
    </row>
    <row r="25" spans="3:26" ht="19.5" customHeight="1">
      <c r="C25" s="73"/>
      <c r="D25" s="100" t="s">
        <v>3</v>
      </c>
      <c r="E25" s="317" t="s">
        <v>100</v>
      </c>
      <c r="F25" s="317"/>
      <c r="G25" s="317"/>
      <c r="H25" s="318"/>
      <c r="I25" s="318"/>
      <c r="J25" s="318"/>
      <c r="K25" s="101">
        <f>S24</f>
        <v>0.025</v>
      </c>
      <c r="L25" s="74"/>
      <c r="P25" s="115" t="s">
        <v>25</v>
      </c>
      <c r="Q25" s="335" t="s">
        <v>101</v>
      </c>
      <c r="R25" s="336"/>
      <c r="S25" s="116">
        <f>IF(G7='[1]Planilha3'!$C$4,4.5%,0)</f>
        <v>0.045</v>
      </c>
      <c r="T25" s="97"/>
      <c r="U25" s="324" t="s">
        <v>102</v>
      </c>
      <c r="V25" s="324"/>
      <c r="W25" s="324"/>
      <c r="X25" s="324"/>
      <c r="Y25" s="117"/>
      <c r="Z25" s="117"/>
    </row>
    <row r="26" spans="3:26" ht="19.5" customHeight="1">
      <c r="C26" s="73"/>
      <c r="D26" s="100" t="s">
        <v>22</v>
      </c>
      <c r="E26" s="317" t="s">
        <v>95</v>
      </c>
      <c r="F26" s="318"/>
      <c r="G26" s="318"/>
      <c r="H26" s="318"/>
      <c r="I26" s="318"/>
      <c r="J26" s="318"/>
      <c r="K26" s="101">
        <f>S22</f>
        <v>0.0065</v>
      </c>
      <c r="L26" s="74"/>
      <c r="P26" s="325" t="s">
        <v>103</v>
      </c>
      <c r="Q26" s="326"/>
      <c r="R26" s="118"/>
      <c r="S26" s="119"/>
      <c r="T26" s="120">
        <f>S28*X13</f>
        <v>260521.06342249594</v>
      </c>
      <c r="U26" s="327" t="s">
        <v>104</v>
      </c>
      <c r="V26" s="327"/>
      <c r="W26" s="327"/>
      <c r="X26" s="327"/>
      <c r="Y26" s="93" t="s">
        <v>92</v>
      </c>
      <c r="Z26" s="94" t="s">
        <v>93</v>
      </c>
    </row>
    <row r="27" spans="3:26" ht="19.5" customHeight="1">
      <c r="C27" s="73"/>
      <c r="D27" s="100" t="s">
        <v>23</v>
      </c>
      <c r="E27" s="317" t="s">
        <v>96</v>
      </c>
      <c r="F27" s="318"/>
      <c r="G27" s="318"/>
      <c r="H27" s="318"/>
      <c r="I27" s="318"/>
      <c r="J27" s="318"/>
      <c r="K27" s="101">
        <f>S23</f>
        <v>0.03</v>
      </c>
      <c r="L27" s="74"/>
      <c r="P27" s="325" t="s">
        <v>105</v>
      </c>
      <c r="Q27" s="326"/>
      <c r="R27" s="121"/>
      <c r="S27" s="122"/>
      <c r="T27" s="123">
        <f>T26+X13</f>
        <v>1260521.063422496</v>
      </c>
      <c r="U27" s="124" t="s">
        <v>106</v>
      </c>
      <c r="V27" s="125">
        <f>IF($R$11='[1]% de BDI '!$A$4,'[1]% de BDI '!I17,IF('[1]BDI-SERVIÇOS'!$R$11='[1]% de BDI '!$A$21,'[1]% de BDI '!I34,IF('[1]BDI-SERVIÇOS'!$R$11='[1]% de BDI '!$A$38,'[1]% de BDI '!I51,IF('[1]BDI-SERVIÇOS'!$R$11='[1]% de BDI '!$A$55,'[1]% de BDI '!I68,IF('[1]BDI-SERVIÇOS'!$R$11='[1]% de BDI '!$A$72,'[1]% de BDI '!I85,"")))))</f>
        <v>0.2034</v>
      </c>
      <c r="W27" s="125">
        <f>IF($R$11='[1]% de BDI '!$A$4,'[1]% de BDI '!J17,IF('[1]BDI-SERVIÇOS'!$R$11='[1]% de BDI '!$A$21,'[1]% de BDI '!J34,IF('[1]BDI-SERVIÇOS'!$R$11='[1]% de BDI '!$A$38,'[1]% de BDI '!J51,IF('[1]BDI-SERVIÇOS'!$R$11='[1]% de BDI '!$A$55,'[1]% de BDI '!J68,IF('[1]BDI-SERVIÇOS'!$R$11='[1]% de BDI '!$A$72,'[1]% de BDI '!J85,"")))))</f>
        <v>0.2212</v>
      </c>
      <c r="X27" s="125">
        <f>IF($R$11='[1]% de BDI '!$A$4,'[1]% de BDI '!K17,IF('[1]BDI-SERVIÇOS'!$R$11='[1]% de BDI '!$A$21,'[1]% de BDI '!K34,IF('[1]BDI-SERVIÇOS'!$R$11='[1]% de BDI '!$A$38,'[1]% de BDI '!K51,IF('[1]BDI-SERVIÇOS'!$R$11='[1]% de BDI '!$A$55,'[1]% de BDI '!K68,IF('[1]BDI-SERVIÇOS'!$R$11='[1]% de BDI '!$A$72,'[1]% de BDI '!K85,"")))))</f>
        <v>0.25</v>
      </c>
      <c r="Y27" s="126"/>
      <c r="Z27" s="126"/>
    </row>
    <row r="28" spans="3:26" ht="19.5" customHeight="1">
      <c r="C28" s="73"/>
      <c r="D28" s="100" t="s">
        <v>42</v>
      </c>
      <c r="E28" s="317" t="s">
        <v>107</v>
      </c>
      <c r="F28" s="318"/>
      <c r="G28" s="318"/>
      <c r="H28" s="318"/>
      <c r="I28" s="318"/>
      <c r="J28" s="318"/>
      <c r="K28" s="101">
        <f>S25</f>
        <v>0.045</v>
      </c>
      <c r="L28" s="74"/>
      <c r="P28" s="332" t="s">
        <v>108</v>
      </c>
      <c r="Q28" s="333"/>
      <c r="R28" s="334"/>
      <c r="S28" s="127">
        <f>(((1+S16+S18+S17)*(1+S19)*(1+S20)/(1-S21))-1)</f>
        <v>0.2605210634224959</v>
      </c>
      <c r="T28" s="128" t="str">
        <f>IF(S25=0,IF(AND(S28&gt;=V27,S28&lt;=X27),"OK","AJUSTAR"),IF(AND(S28&gt;=V28,S28&lt;=X28),"OK","AJUSTAR"))</f>
        <v>OK</v>
      </c>
      <c r="U28" s="129" t="s">
        <v>109</v>
      </c>
      <c r="V28" s="130">
        <f>TRUNC((1+V27)/(0.955)-1,4)</f>
        <v>0.2601</v>
      </c>
      <c r="W28" s="130">
        <f>TRUNC((1+W27)/(0.955)-1,4)</f>
        <v>0.2787</v>
      </c>
      <c r="X28" s="130">
        <f>TRUNC((1+X27)/(0.955)-1,4)</f>
        <v>0.3089</v>
      </c>
      <c r="Y28" s="126"/>
      <c r="Z28" s="126"/>
    </row>
    <row r="29" spans="3:26" ht="16.5" thickBot="1">
      <c r="C29" s="73"/>
      <c r="D29" s="88"/>
      <c r="E29" s="89"/>
      <c r="F29" s="90"/>
      <c r="G29" s="90"/>
      <c r="H29" s="90"/>
      <c r="I29" s="90"/>
      <c r="J29" s="91"/>
      <c r="K29" s="92"/>
      <c r="L29" s="74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</row>
    <row r="30" spans="3:26" ht="16.5" customHeight="1" thickBot="1" thickTop="1">
      <c r="C30" s="73"/>
      <c r="D30" s="75" t="s">
        <v>110</v>
      </c>
      <c r="E30" s="319" t="s">
        <v>111</v>
      </c>
      <c r="F30" s="319"/>
      <c r="G30" s="319"/>
      <c r="H30" s="319"/>
      <c r="I30" s="319"/>
      <c r="J30" s="319"/>
      <c r="K30" s="131">
        <f>TRUNC(((1+(K13+K17))*(1+K15)*(1+K22)/(1-K24))-1,4)</f>
        <v>0.2706</v>
      </c>
      <c r="L30" s="74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</row>
    <row r="31" spans="3:26" ht="16.5" thickTop="1">
      <c r="C31" s="73"/>
      <c r="D31" s="88"/>
      <c r="E31" s="89"/>
      <c r="F31" s="90"/>
      <c r="G31" s="90"/>
      <c r="H31" s="90"/>
      <c r="I31" s="90"/>
      <c r="J31" s="91"/>
      <c r="K31" s="92"/>
      <c r="L31" s="74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</row>
    <row r="32" spans="3:26" ht="15">
      <c r="C32" s="73"/>
      <c r="D32" s="59" t="s">
        <v>112</v>
      </c>
      <c r="E32" s="59"/>
      <c r="F32" s="59"/>
      <c r="G32" s="59"/>
      <c r="H32" s="132"/>
      <c r="I32" s="59"/>
      <c r="J32" s="133"/>
      <c r="K32" s="134"/>
      <c r="L32" s="74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</row>
    <row r="33" spans="3:26" ht="4.5" customHeight="1">
      <c r="C33" s="73"/>
      <c r="D33" s="135"/>
      <c r="E33" s="135"/>
      <c r="F33" s="135"/>
      <c r="G33" s="135"/>
      <c r="H33" s="136"/>
      <c r="I33" s="135"/>
      <c r="J33" s="137"/>
      <c r="K33" s="138"/>
      <c r="L33" s="74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</row>
    <row r="34" spans="3:26" ht="33" customHeight="1">
      <c r="C34" s="73"/>
      <c r="D34" s="315" t="s">
        <v>113</v>
      </c>
      <c r="E34" s="315"/>
      <c r="F34" s="315"/>
      <c r="G34" s="315"/>
      <c r="H34" s="315"/>
      <c r="I34" s="315"/>
      <c r="J34" s="315"/>
      <c r="K34" s="315"/>
      <c r="L34" s="74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</row>
    <row r="35" spans="3:26" ht="4.5" customHeight="1">
      <c r="C35" s="73"/>
      <c r="D35" s="139"/>
      <c r="E35" s="139"/>
      <c r="F35" s="139"/>
      <c r="G35" s="139"/>
      <c r="H35" s="140"/>
      <c r="I35" s="139"/>
      <c r="J35" s="141"/>
      <c r="K35" s="142"/>
      <c r="L35" s="74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</row>
    <row r="36" spans="3:26" ht="33" customHeight="1">
      <c r="C36" s="73"/>
      <c r="D36" s="315" t="s">
        <v>114</v>
      </c>
      <c r="E36" s="315"/>
      <c r="F36" s="315"/>
      <c r="G36" s="315"/>
      <c r="H36" s="315"/>
      <c r="I36" s="315"/>
      <c r="J36" s="315"/>
      <c r="K36" s="315"/>
      <c r="L36" s="74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</row>
    <row r="37" spans="3:26" ht="4.5" customHeight="1">
      <c r="C37" s="73"/>
      <c r="D37" s="139"/>
      <c r="E37" s="139"/>
      <c r="F37" s="139"/>
      <c r="G37" s="139"/>
      <c r="H37" s="140"/>
      <c r="I37" s="139"/>
      <c r="J37" s="141"/>
      <c r="K37" s="142"/>
      <c r="L37" s="74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</row>
    <row r="38" spans="3:26" ht="33" customHeight="1">
      <c r="C38" s="73"/>
      <c r="D38" s="315" t="s">
        <v>115</v>
      </c>
      <c r="E38" s="315"/>
      <c r="F38" s="315"/>
      <c r="G38" s="315"/>
      <c r="H38" s="315"/>
      <c r="I38" s="315"/>
      <c r="J38" s="315"/>
      <c r="K38" s="315"/>
      <c r="L38" s="74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</row>
    <row r="39" spans="3:26" ht="4.5" customHeight="1">
      <c r="C39" s="73"/>
      <c r="D39" s="139"/>
      <c r="E39" s="139"/>
      <c r="F39" s="139"/>
      <c r="G39" s="139"/>
      <c r="H39" s="140"/>
      <c r="I39" s="139"/>
      <c r="J39" s="141"/>
      <c r="K39" s="142"/>
      <c r="L39" s="74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</row>
    <row r="40" spans="3:26" ht="33" customHeight="1">
      <c r="C40" s="73"/>
      <c r="D40" s="315" t="s">
        <v>116</v>
      </c>
      <c r="E40" s="315"/>
      <c r="F40" s="315"/>
      <c r="G40" s="315"/>
      <c r="H40" s="315"/>
      <c r="I40" s="315"/>
      <c r="J40" s="315"/>
      <c r="K40" s="315"/>
      <c r="L40" s="74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</row>
    <row r="41" spans="3:26" ht="4.5" customHeight="1">
      <c r="C41" s="73"/>
      <c r="D41" s="139"/>
      <c r="E41" s="139"/>
      <c r="F41" s="139"/>
      <c r="G41" s="139"/>
      <c r="H41" s="140"/>
      <c r="I41" s="139"/>
      <c r="J41" s="141"/>
      <c r="K41" s="142"/>
      <c r="L41" s="74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</row>
    <row r="42" spans="3:26" ht="33" customHeight="1">
      <c r="C42" s="73"/>
      <c r="D42" s="315" t="s">
        <v>117</v>
      </c>
      <c r="E42" s="315"/>
      <c r="F42" s="315"/>
      <c r="G42" s="315"/>
      <c r="H42" s="315"/>
      <c r="I42" s="315"/>
      <c r="J42" s="315"/>
      <c r="K42" s="315"/>
      <c r="L42" s="74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</row>
    <row r="43" spans="3:26" ht="4.5" customHeight="1">
      <c r="C43" s="73"/>
      <c r="D43" s="139"/>
      <c r="E43" s="139"/>
      <c r="F43" s="139"/>
      <c r="G43" s="139"/>
      <c r="H43" s="140"/>
      <c r="I43" s="139"/>
      <c r="J43" s="141"/>
      <c r="K43" s="142"/>
      <c r="L43" s="74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</row>
    <row r="44" spans="3:26" ht="48.75" customHeight="1">
      <c r="C44" s="73"/>
      <c r="D44" s="316" t="s">
        <v>118</v>
      </c>
      <c r="E44" s="316"/>
      <c r="F44" s="316"/>
      <c r="G44" s="316"/>
      <c r="H44" s="316"/>
      <c r="I44" s="316"/>
      <c r="J44" s="316"/>
      <c r="K44" s="316"/>
      <c r="L44" s="74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</row>
    <row r="45" spans="3:26" ht="12.75">
      <c r="C45" s="143"/>
      <c r="D45" s="144"/>
      <c r="E45" s="144"/>
      <c r="F45" s="144"/>
      <c r="G45" s="144"/>
      <c r="H45" s="144"/>
      <c r="I45" s="144"/>
      <c r="J45" s="144"/>
      <c r="K45" s="144"/>
      <c r="L45" s="145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</row>
    <row r="46" spans="1:26" ht="12.75">
      <c r="A46" s="215"/>
      <c r="H46" s="216" t="str">
        <f>ORÇAMENTO!A22</f>
        <v>Ipixuna do Pará (PA),</v>
      </c>
      <c r="I46" s="337">
        <f>ORÇAMENTO!D22</f>
        <v>44783</v>
      </c>
      <c r="J46" s="337"/>
      <c r="K46" s="337"/>
      <c r="L46" s="337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</row>
    <row r="47" spans="16:26" ht="12.75"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</row>
    <row r="52" ht="12.75">
      <c r="B52" t="str">
        <f>ORÇAMENTO!A29</f>
        <v>TÉCNICO RESPONSÁVEL:</v>
      </c>
    </row>
    <row r="53" ht="12.75">
      <c r="B53" t="str">
        <f>ORÇAMENTO!A30</f>
        <v>ENG. CIVIL ALICE MORAIS</v>
      </c>
    </row>
    <row r="54" ht="12.75">
      <c r="B54" t="str">
        <f>ORÇAMENTO!A31</f>
        <v>CREA 151.686.693-2</v>
      </c>
    </row>
  </sheetData>
  <sheetProtection/>
  <mergeCells count="48">
    <mergeCell ref="E11:J11"/>
    <mergeCell ref="R11:Z11"/>
    <mergeCell ref="E13:J13"/>
    <mergeCell ref="U14:U15"/>
    <mergeCell ref="V14:X14"/>
    <mergeCell ref="Y14:Y15"/>
    <mergeCell ref="P13:W13"/>
    <mergeCell ref="X13:Z13"/>
    <mergeCell ref="P14:P15"/>
    <mergeCell ref="Q14:Q15"/>
    <mergeCell ref="I46:L46"/>
    <mergeCell ref="S1:T8"/>
    <mergeCell ref="F4:K5"/>
    <mergeCell ref="G7:K7"/>
    <mergeCell ref="G8:K8"/>
    <mergeCell ref="D9:K9"/>
    <mergeCell ref="D10:K10"/>
    <mergeCell ref="E18:J18"/>
    <mergeCell ref="E19:J19"/>
    <mergeCell ref="E20:J20"/>
    <mergeCell ref="R14:R15"/>
    <mergeCell ref="S14:S15"/>
    <mergeCell ref="T14:T15"/>
    <mergeCell ref="P27:Q27"/>
    <mergeCell ref="E28:J28"/>
    <mergeCell ref="P28:R28"/>
    <mergeCell ref="Q25:R25"/>
    <mergeCell ref="E22:J22"/>
    <mergeCell ref="Q22:R22"/>
    <mergeCell ref="Q23:R23"/>
    <mergeCell ref="Z14:Z15"/>
    <mergeCell ref="E15:J15"/>
    <mergeCell ref="E17:J17"/>
    <mergeCell ref="U25:X25"/>
    <mergeCell ref="E26:J26"/>
    <mergeCell ref="P26:Q26"/>
    <mergeCell ref="U26:X26"/>
    <mergeCell ref="E24:J24"/>
    <mergeCell ref="Q24:R24"/>
    <mergeCell ref="E25:J25"/>
    <mergeCell ref="D36:K36"/>
    <mergeCell ref="D38:K38"/>
    <mergeCell ref="D40:K40"/>
    <mergeCell ref="D42:K42"/>
    <mergeCell ref="D44:K44"/>
    <mergeCell ref="E27:J27"/>
    <mergeCell ref="E30:J30"/>
    <mergeCell ref="D34:K34"/>
  </mergeCells>
  <printOptions horizontalCentered="1"/>
  <pageMargins left="0.5118110236220472" right="0.5118110236220472" top="0.3937007874015748" bottom="0.3937007874015748" header="0.31496062992125984" footer="0.31496062992125984"/>
  <pageSetup fitToHeight="0" fitToWidth="1" horizontalDpi="600" verticalDpi="600" orientation="portrait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showGridLines="0" view="pageBreakPreview" zoomScaleNormal="85" zoomScaleSheetLayoutView="100" zoomScalePageLayoutView="0" workbookViewId="0" topLeftCell="A28">
      <selection activeCell="C50" sqref="C50"/>
    </sheetView>
  </sheetViews>
  <sheetFormatPr defaultColWidth="8.8515625" defaultRowHeight="12.75"/>
  <cols>
    <col min="1" max="1" width="8.00390625" style="45" customWidth="1"/>
    <col min="2" max="2" width="8.8515625" style="194" customWidth="1"/>
    <col min="3" max="3" width="54.7109375" style="45" customWidth="1"/>
    <col min="4" max="5" width="7.28125" style="45" customWidth="1"/>
    <col min="6" max="6" width="13.57421875" style="45" customWidth="1"/>
    <col min="7" max="7" width="13.00390625" style="45" customWidth="1"/>
    <col min="8" max="8" width="10.140625" style="45" bestFit="1" customWidth="1"/>
    <col min="9" max="9" width="13.7109375" style="45" customWidth="1"/>
    <col min="10" max="11" width="11.57421875" style="45" bestFit="1" customWidth="1"/>
    <col min="12" max="16384" width="8.8515625" style="45" customWidth="1"/>
  </cols>
  <sheetData>
    <row r="1" spans="1:6" s="158" customFormat="1" ht="12.75">
      <c r="A1" s="46" t="str">
        <f>ORÇAMENTO!$A$1</f>
        <v>PREFEITURA MUNICIPAL DE IPIXUNA DO PARÁ</v>
      </c>
      <c r="B1" s="188"/>
      <c r="C1" s="46"/>
      <c r="D1" s="46"/>
      <c r="E1" s="46"/>
      <c r="F1" s="46"/>
    </row>
    <row r="2" spans="1:6" s="158" customFormat="1" ht="12.75">
      <c r="A2" s="46" t="str">
        <f>ORÇAMENTO!$A$2</f>
        <v>CNPJ: 83.268.011/0001-84</v>
      </c>
      <c r="B2" s="188"/>
      <c r="C2" s="46"/>
      <c r="D2" s="46"/>
      <c r="E2" s="46"/>
      <c r="F2" s="46"/>
    </row>
    <row r="3" spans="1:6" s="158" customFormat="1" ht="12.75">
      <c r="A3" s="46" t="str">
        <f>ORÇAMENTO!$A$3</f>
        <v>SECRETARIA MUNICIPAL DE OBRAS, TRANSPORTE, ÁGUA E URBANISMO</v>
      </c>
      <c r="B3" s="188"/>
      <c r="C3" s="46"/>
      <c r="D3" s="46"/>
      <c r="E3" s="46"/>
      <c r="F3" s="46"/>
    </row>
    <row r="4" spans="1:6" s="158" customFormat="1" ht="12.75">
      <c r="A4" s="46" t="str">
        <f>ORÇAMENTO!$A$4</f>
        <v>ENDEREÇO: AV. PRESIDENTE GETÚLIO VARGAS, 505. CENTRO.</v>
      </c>
      <c r="B4" s="188"/>
      <c r="C4" s="46"/>
      <c r="D4" s="46"/>
      <c r="E4" s="46"/>
      <c r="F4" s="46"/>
    </row>
    <row r="5" spans="1:6" s="158" customFormat="1" ht="12.75">
      <c r="A5" s="46" t="str">
        <f>ORÇAMENTO!$A$5</f>
        <v>OBJETO:</v>
      </c>
      <c r="B5" s="188" t="str">
        <f>ORÇAMENTO!C5</f>
        <v>PAVIMENTAÇÃO DE VIAS COM BLOCO DE CONCRETO INTERTRAVADO</v>
      </c>
      <c r="C5" s="46"/>
      <c r="D5" s="46"/>
      <c r="E5" s="46"/>
      <c r="F5" s="46"/>
    </row>
    <row r="6" spans="1:6" s="158" customFormat="1" ht="13.5">
      <c r="A6" s="46" t="str">
        <f>ORÇAMENTO!$A$6</f>
        <v>REFERÊNCIA: SINAPI JUNHO/2022 - DESONERADO / SEDOP 05/2022</v>
      </c>
      <c r="B6" s="189"/>
      <c r="C6" s="159"/>
      <c r="D6" s="4"/>
      <c r="E6" s="46"/>
      <c r="F6" s="46"/>
    </row>
    <row r="7" spans="1:6" s="158" customFormat="1" ht="27" customHeight="1" thickBot="1">
      <c r="A7" s="309" t="str">
        <f>ORÇAMENTO!$A$7</f>
        <v>RESPONSAVEL TÉCNICO: ENG. CIVIL ALICE C. OLIVEIRA DE MORAIS  / CREA 151.686.693-2
Contato: (91) 98468-1798 e-mail: alicemorais.co@gmail.com</v>
      </c>
      <c r="B7" s="309"/>
      <c r="C7" s="309"/>
      <c r="D7" s="309"/>
      <c r="E7" s="160"/>
      <c r="F7" s="160"/>
    </row>
    <row r="8" spans="1:7" s="3" customFormat="1" ht="12.75">
      <c r="A8" s="276" t="s">
        <v>6</v>
      </c>
      <c r="B8" s="266"/>
      <c r="C8" s="266"/>
      <c r="D8" s="265" t="s">
        <v>11</v>
      </c>
      <c r="E8" s="266"/>
      <c r="F8" s="266"/>
      <c r="G8" s="267"/>
    </row>
    <row r="9" spans="1:7" s="3" customFormat="1" ht="13.5" customHeight="1">
      <c r="A9" s="271" t="str">
        <f>ORÇAMENTO!A10</f>
        <v>PREFEITURA MUNICIPAL DE IPIXUNA DO PARÁ</v>
      </c>
      <c r="B9" s="269"/>
      <c r="C9" s="269"/>
      <c r="D9" s="268" t="s">
        <v>137</v>
      </c>
      <c r="E9" s="269"/>
      <c r="F9" s="269"/>
      <c r="G9" s="270"/>
    </row>
    <row r="10" spans="1:7" s="3" customFormat="1" ht="12.75">
      <c r="A10" s="273" t="s">
        <v>12</v>
      </c>
      <c r="B10" s="274"/>
      <c r="C10" s="274"/>
      <c r="D10" s="290" t="s">
        <v>15</v>
      </c>
      <c r="E10" s="274"/>
      <c r="F10" s="274"/>
      <c r="G10" s="291"/>
    </row>
    <row r="11" spans="1:7" s="3" customFormat="1" ht="18" customHeight="1" thickBot="1">
      <c r="A11" s="287" t="str">
        <f>B5</f>
        <v>PAVIMENTAÇÃO DE VIAS COM BLOCO DE CONCRETO INTERTRAVADO</v>
      </c>
      <c r="B11" s="288"/>
      <c r="C11" s="288"/>
      <c r="D11" s="156" t="str">
        <f>ORÇAMENTO!E12</f>
        <v>ENG. CIVIL ALICE MORAIS</v>
      </c>
      <c r="E11" s="49"/>
      <c r="F11" s="49" t="str">
        <f>ORÇAMENTO!H12</f>
        <v>CREA 151.686.693-2</v>
      </c>
      <c r="G11" s="50"/>
    </row>
    <row r="12" spans="2:13" s="158" customFormat="1" ht="7.5" customHeight="1">
      <c r="B12" s="190"/>
      <c r="I12" s="167"/>
      <c r="J12" s="168"/>
      <c r="K12" s="165"/>
      <c r="L12" s="166"/>
      <c r="M12" s="166"/>
    </row>
    <row r="13" spans="1:7" ht="30" customHeight="1">
      <c r="A13" s="217" t="str">
        <f>ORÇAMENTO!B16</f>
        <v>SEDOP</v>
      </c>
      <c r="B13" s="186" t="str">
        <f>ORÇAMENTO!C16</f>
        <v>011340</v>
      </c>
      <c r="C13" s="358" t="str">
        <f>ORÇAMENTO!D16</f>
        <v>Placa de obra em lona com plotagem de gráfica</v>
      </c>
      <c r="D13" s="358"/>
      <c r="E13" s="358"/>
      <c r="F13" s="181" t="s">
        <v>130</v>
      </c>
      <c r="G13" s="180" t="s">
        <v>119</v>
      </c>
    </row>
    <row r="14" spans="1:7" ht="16.5" customHeight="1">
      <c r="A14" s="181" t="s">
        <v>131</v>
      </c>
      <c r="B14" s="191" t="s">
        <v>132</v>
      </c>
      <c r="C14" s="181" t="s">
        <v>56</v>
      </c>
      <c r="D14" s="182" t="s">
        <v>133</v>
      </c>
      <c r="E14" s="183" t="s">
        <v>32</v>
      </c>
      <c r="F14" s="184" t="s">
        <v>134</v>
      </c>
      <c r="G14" s="184" t="s">
        <v>16</v>
      </c>
    </row>
    <row r="15" spans="1:7" ht="16.5" customHeight="1">
      <c r="A15" s="170" t="s">
        <v>44</v>
      </c>
      <c r="B15" s="192" t="s">
        <v>226</v>
      </c>
      <c r="C15" s="171" t="s">
        <v>229</v>
      </c>
      <c r="D15" s="172" t="s">
        <v>233</v>
      </c>
      <c r="E15" s="173">
        <v>0.41</v>
      </c>
      <c r="F15" s="174">
        <v>152</v>
      </c>
      <c r="G15" s="175">
        <f>ROUND(E15*F15,2)</f>
        <v>62.32</v>
      </c>
    </row>
    <row r="16" spans="1:7" ht="16.5" customHeight="1">
      <c r="A16" s="170" t="s">
        <v>44</v>
      </c>
      <c r="B16" s="192" t="s">
        <v>227</v>
      </c>
      <c r="C16" s="171" t="s">
        <v>232</v>
      </c>
      <c r="D16" s="172" t="s">
        <v>218</v>
      </c>
      <c r="E16" s="173">
        <v>1</v>
      </c>
      <c r="F16" s="174">
        <v>97</v>
      </c>
      <c r="G16" s="175">
        <f>ROUND(E16*F16,2)</f>
        <v>97</v>
      </c>
    </row>
    <row r="17" spans="1:7" ht="16.5" customHeight="1">
      <c r="A17" s="170" t="s">
        <v>44</v>
      </c>
      <c r="B17" s="192" t="s">
        <v>228</v>
      </c>
      <c r="C17" s="171" t="s">
        <v>235</v>
      </c>
      <c r="D17" s="172" t="s">
        <v>234</v>
      </c>
      <c r="E17" s="173">
        <v>0.1</v>
      </c>
      <c r="F17" s="174">
        <v>16.83</v>
      </c>
      <c r="G17" s="175">
        <f>ROUND(E17*F17,2)</f>
        <v>1.68</v>
      </c>
    </row>
    <row r="18" spans="1:7" ht="16.5" customHeight="1">
      <c r="A18" s="170" t="s">
        <v>44</v>
      </c>
      <c r="B18" s="192" t="s">
        <v>231</v>
      </c>
      <c r="C18" s="171" t="s">
        <v>230</v>
      </c>
      <c r="D18" s="172" t="s">
        <v>136</v>
      </c>
      <c r="E18" s="173">
        <v>0.4</v>
      </c>
      <c r="F18" s="174">
        <v>21.1</v>
      </c>
      <c r="G18" s="175">
        <f>ROUND(E18*F18,2)</f>
        <v>8.44</v>
      </c>
    </row>
    <row r="19" spans="1:7" ht="16.5" customHeight="1">
      <c r="A19" s="170" t="s">
        <v>44</v>
      </c>
      <c r="B19" s="192">
        <v>280026</v>
      </c>
      <c r="C19" s="171" t="s">
        <v>135</v>
      </c>
      <c r="D19" s="172" t="s">
        <v>136</v>
      </c>
      <c r="E19" s="173">
        <v>0.4</v>
      </c>
      <c r="F19" s="174">
        <v>17.07</v>
      </c>
      <c r="G19" s="175">
        <f>ROUND(E19*F19,2)</f>
        <v>6.83</v>
      </c>
    </row>
    <row r="20" spans="1:7" ht="16.5" customHeight="1">
      <c r="A20" s="357" t="s">
        <v>138</v>
      </c>
      <c r="B20" s="357"/>
      <c r="C20" s="357"/>
      <c r="D20" s="357"/>
      <c r="E20" s="357"/>
      <c r="F20" s="357"/>
      <c r="G20" s="185">
        <f>SUM(G15:G19)</f>
        <v>176.27</v>
      </c>
    </row>
    <row r="21" spans="2:13" s="158" customFormat="1" ht="13.5">
      <c r="B21" s="190"/>
      <c r="E21" s="310"/>
      <c r="F21" s="310"/>
      <c r="G21" s="310"/>
      <c r="I21" s="167"/>
      <c r="J21" s="166"/>
      <c r="K21" s="166"/>
      <c r="L21" s="166"/>
      <c r="M21" s="166"/>
    </row>
    <row r="22" spans="1:7" ht="30" customHeight="1">
      <c r="A22" s="217" t="str">
        <f>ORÇAMENTO!B18</f>
        <v>SINAPI</v>
      </c>
      <c r="B22" s="186" t="str">
        <f>ORÇAMENTO!C18</f>
        <v>92394</v>
      </c>
      <c r="C22" s="358" t="str">
        <f>ORÇAMENTO!D18</f>
        <v>EXECUÇÃO DE PAVIMENTO EM PISO INTERTRAVADO, COM BLOCO SEXTAVADO DE 25 X 25 CM, ESPESSURA 8 CM. AF_12/2015</v>
      </c>
      <c r="D22" s="358"/>
      <c r="E22" s="358"/>
      <c r="F22" s="181" t="s">
        <v>130</v>
      </c>
      <c r="G22" s="180" t="s">
        <v>8</v>
      </c>
    </row>
    <row r="23" spans="1:7" ht="16.5" customHeight="1">
      <c r="A23" s="181" t="s">
        <v>131</v>
      </c>
      <c r="B23" s="191" t="s">
        <v>132</v>
      </c>
      <c r="C23" s="181" t="s">
        <v>56</v>
      </c>
      <c r="D23" s="182" t="s">
        <v>133</v>
      </c>
      <c r="E23" s="183" t="s">
        <v>32</v>
      </c>
      <c r="F23" s="184" t="s">
        <v>134</v>
      </c>
      <c r="G23" s="184" t="s">
        <v>16</v>
      </c>
    </row>
    <row r="24" spans="1:7" ht="25.5">
      <c r="A24" s="170" t="s">
        <v>236</v>
      </c>
      <c r="B24" s="192" t="s">
        <v>237</v>
      </c>
      <c r="C24" s="171" t="s">
        <v>238</v>
      </c>
      <c r="D24" s="172" t="s">
        <v>239</v>
      </c>
      <c r="E24" s="173">
        <v>0.0568</v>
      </c>
      <c r="F24" s="174">
        <v>82.5</v>
      </c>
      <c r="G24" s="175">
        <f aca="true" t="shared" si="0" ref="G24:G32">ROUND(E24*F24,2)</f>
        <v>4.69</v>
      </c>
    </row>
    <row r="25" spans="1:7" ht="51">
      <c r="A25" s="170" t="s">
        <v>236</v>
      </c>
      <c r="B25" s="192" t="s">
        <v>240</v>
      </c>
      <c r="C25" s="171" t="s">
        <v>241</v>
      </c>
      <c r="D25" s="172" t="s">
        <v>242</v>
      </c>
      <c r="E25" s="173">
        <v>1.0174</v>
      </c>
      <c r="F25" s="174">
        <v>68.84</v>
      </c>
      <c r="G25" s="175">
        <f t="shared" si="0"/>
        <v>70.04</v>
      </c>
    </row>
    <row r="26" spans="1:7" ht="25.5">
      <c r="A26" s="170" t="s">
        <v>236</v>
      </c>
      <c r="B26" s="192" t="s">
        <v>243</v>
      </c>
      <c r="C26" s="171" t="s">
        <v>244</v>
      </c>
      <c r="D26" s="172" t="s">
        <v>239</v>
      </c>
      <c r="E26" s="173">
        <v>0.0064</v>
      </c>
      <c r="F26" s="174">
        <v>109.66</v>
      </c>
      <c r="G26" s="175">
        <f t="shared" si="0"/>
        <v>0.7</v>
      </c>
    </row>
    <row r="27" spans="1:7" ht="16.5" customHeight="1">
      <c r="A27" s="170" t="s">
        <v>121</v>
      </c>
      <c r="B27" s="192" t="s">
        <v>245</v>
      </c>
      <c r="C27" s="171" t="s">
        <v>246</v>
      </c>
      <c r="D27" s="172" t="s">
        <v>136</v>
      </c>
      <c r="E27" s="173">
        <v>0.1853</v>
      </c>
      <c r="F27" s="174">
        <v>19.79</v>
      </c>
      <c r="G27" s="175">
        <f t="shared" si="0"/>
        <v>3.67</v>
      </c>
    </row>
    <row r="28" spans="1:7" ht="16.5" customHeight="1">
      <c r="A28" s="170" t="s">
        <v>121</v>
      </c>
      <c r="B28" s="192" t="s">
        <v>247</v>
      </c>
      <c r="C28" s="171" t="s">
        <v>135</v>
      </c>
      <c r="D28" s="172" t="s">
        <v>136</v>
      </c>
      <c r="E28" s="173">
        <v>0.1853</v>
      </c>
      <c r="F28" s="174">
        <v>17.09</v>
      </c>
      <c r="G28" s="175">
        <f t="shared" si="0"/>
        <v>3.17</v>
      </c>
    </row>
    <row r="29" spans="1:7" ht="38.25">
      <c r="A29" s="170" t="s">
        <v>121</v>
      </c>
      <c r="B29" s="192" t="s">
        <v>248</v>
      </c>
      <c r="C29" s="171" t="s">
        <v>249</v>
      </c>
      <c r="D29" s="172" t="s">
        <v>250</v>
      </c>
      <c r="E29" s="173">
        <v>0.0055</v>
      </c>
      <c r="F29" s="174">
        <v>11.8</v>
      </c>
      <c r="G29" s="175">
        <f t="shared" si="0"/>
        <v>0.06</v>
      </c>
    </row>
    <row r="30" spans="1:7" ht="38.25">
      <c r="A30" s="170" t="s">
        <v>121</v>
      </c>
      <c r="B30" s="192" t="s">
        <v>251</v>
      </c>
      <c r="C30" s="171" t="s">
        <v>252</v>
      </c>
      <c r="D30" s="172" t="s">
        <v>253</v>
      </c>
      <c r="E30" s="173">
        <v>0.0872</v>
      </c>
      <c r="F30" s="174">
        <v>0.58</v>
      </c>
      <c r="G30" s="175">
        <f t="shared" si="0"/>
        <v>0.05</v>
      </c>
    </row>
    <row r="31" spans="1:7" ht="63.75">
      <c r="A31" s="170" t="s">
        <v>121</v>
      </c>
      <c r="B31" s="192" t="s">
        <v>254</v>
      </c>
      <c r="C31" s="171" t="s">
        <v>255</v>
      </c>
      <c r="D31" s="172" t="s">
        <v>250</v>
      </c>
      <c r="E31" s="173">
        <v>0.0135</v>
      </c>
      <c r="F31" s="174">
        <v>12.47</v>
      </c>
      <c r="G31" s="175">
        <f t="shared" si="0"/>
        <v>0.17</v>
      </c>
    </row>
    <row r="32" spans="1:7" ht="63.75">
      <c r="A32" s="170" t="s">
        <v>121</v>
      </c>
      <c r="B32" s="192" t="s">
        <v>256</v>
      </c>
      <c r="C32" s="171" t="s">
        <v>257</v>
      </c>
      <c r="D32" s="172" t="s">
        <v>253</v>
      </c>
      <c r="E32" s="173">
        <v>0.0792</v>
      </c>
      <c r="F32" s="174">
        <v>0.85</v>
      </c>
      <c r="G32" s="175">
        <f t="shared" si="0"/>
        <v>0.07</v>
      </c>
    </row>
    <row r="33" spans="1:7" ht="16.5" customHeight="1">
      <c r="A33" s="357" t="s">
        <v>138</v>
      </c>
      <c r="B33" s="357"/>
      <c r="C33" s="357"/>
      <c r="D33" s="357"/>
      <c r="E33" s="357"/>
      <c r="F33" s="357"/>
      <c r="G33" s="185">
        <f>SUM(G24:G32)-0.06</f>
        <v>82.56</v>
      </c>
    </row>
    <row r="34" spans="2:13" s="158" customFormat="1" ht="13.5">
      <c r="B34" s="190"/>
      <c r="E34" s="310"/>
      <c r="F34" s="310"/>
      <c r="G34" s="310"/>
      <c r="I34" s="167"/>
      <c r="J34" s="166"/>
      <c r="K34" s="166"/>
      <c r="L34" s="166"/>
      <c r="M34" s="166"/>
    </row>
    <row r="35" spans="1:7" ht="16.5" customHeight="1" hidden="1">
      <c r="A35" s="181" t="s">
        <v>131</v>
      </c>
      <c r="B35" s="191" t="s">
        <v>132</v>
      </c>
      <c r="C35" s="181" t="s">
        <v>56</v>
      </c>
      <c r="D35" s="182" t="s">
        <v>133</v>
      </c>
      <c r="E35" s="183" t="s">
        <v>32</v>
      </c>
      <c r="F35" s="184" t="s">
        <v>134</v>
      </c>
      <c r="G35" s="184" t="s">
        <v>16</v>
      </c>
    </row>
    <row r="36" spans="1:7" ht="25.5" hidden="1">
      <c r="A36" s="170" t="s">
        <v>44</v>
      </c>
      <c r="B36" s="192" t="s">
        <v>207</v>
      </c>
      <c r="C36" s="171" t="s">
        <v>208</v>
      </c>
      <c r="D36" s="172" t="s">
        <v>120</v>
      </c>
      <c r="E36" s="173">
        <v>0.48</v>
      </c>
      <c r="F36" s="174">
        <v>664.46</v>
      </c>
      <c r="G36" s="175">
        <f>ROUND(E36*F36,2)</f>
        <v>318.94</v>
      </c>
    </row>
    <row r="37" spans="1:7" ht="25.5" hidden="1">
      <c r="A37" s="170" t="s">
        <v>122</v>
      </c>
      <c r="B37" s="192" t="s">
        <v>209</v>
      </c>
      <c r="C37" s="171" t="s">
        <v>210</v>
      </c>
      <c r="D37" s="172" t="s">
        <v>37</v>
      </c>
      <c r="E37" s="173">
        <v>1</v>
      </c>
      <c r="F37" s="174">
        <v>1800</v>
      </c>
      <c r="G37" s="175">
        <f>ROUND(E37*F37,2)</f>
        <v>1800</v>
      </c>
    </row>
    <row r="38" spans="1:7" ht="16.5" customHeight="1" hidden="1">
      <c r="A38" s="362" t="s">
        <v>138</v>
      </c>
      <c r="B38" s="363"/>
      <c r="C38" s="363"/>
      <c r="D38" s="363"/>
      <c r="E38" s="363"/>
      <c r="F38" s="364"/>
      <c r="G38" s="185">
        <f>SUM(G36:G37)</f>
        <v>2118.94</v>
      </c>
    </row>
    <row r="39" spans="2:13" s="158" customFormat="1" ht="13.5" hidden="1">
      <c r="B39" s="190"/>
      <c r="E39" s="310"/>
      <c r="F39" s="310"/>
      <c r="G39" s="310"/>
      <c r="I39" s="167"/>
      <c r="J39" s="166"/>
      <c r="K39" s="166"/>
      <c r="L39" s="166"/>
      <c r="M39" s="166"/>
    </row>
    <row r="40" spans="1:7" ht="30" customHeight="1" hidden="1">
      <c r="A40" s="187" t="s">
        <v>127</v>
      </c>
      <c r="B40" s="186" t="s">
        <v>211</v>
      </c>
      <c r="C40" s="359" t="s">
        <v>212</v>
      </c>
      <c r="D40" s="360"/>
      <c r="E40" s="361"/>
      <c r="F40" s="181" t="s">
        <v>130</v>
      </c>
      <c r="G40" s="180" t="s">
        <v>37</v>
      </c>
    </row>
    <row r="41" spans="1:7" ht="16.5" customHeight="1" hidden="1">
      <c r="A41" s="181" t="s">
        <v>131</v>
      </c>
      <c r="B41" s="191" t="s">
        <v>132</v>
      </c>
      <c r="C41" s="181" t="s">
        <v>56</v>
      </c>
      <c r="D41" s="182" t="s">
        <v>133</v>
      </c>
      <c r="E41" s="183" t="s">
        <v>32</v>
      </c>
      <c r="F41" s="184" t="s">
        <v>134</v>
      </c>
      <c r="G41" s="184" t="s">
        <v>16</v>
      </c>
    </row>
    <row r="42" spans="1:7" ht="25.5" hidden="1">
      <c r="A42" s="170" t="s">
        <v>44</v>
      </c>
      <c r="B42" s="192" t="s">
        <v>207</v>
      </c>
      <c r="C42" s="171" t="s">
        <v>208</v>
      </c>
      <c r="D42" s="172" t="s">
        <v>120</v>
      </c>
      <c r="E42" s="173">
        <v>0.24</v>
      </c>
      <c r="F42" s="174">
        <v>664.46</v>
      </c>
      <c r="G42" s="175">
        <f>ROUND(E42*F42,2)</f>
        <v>159.47</v>
      </c>
    </row>
    <row r="43" spans="1:7" ht="25.5" hidden="1">
      <c r="A43" s="170" t="s">
        <v>122</v>
      </c>
      <c r="B43" s="192" t="s">
        <v>213</v>
      </c>
      <c r="C43" s="171" t="s">
        <v>214</v>
      </c>
      <c r="D43" s="172" t="s">
        <v>37</v>
      </c>
      <c r="E43" s="173">
        <v>1</v>
      </c>
      <c r="F43" s="174">
        <v>1760</v>
      </c>
      <c r="G43" s="175">
        <f>ROUND(E43*F43,2)</f>
        <v>1760</v>
      </c>
    </row>
    <row r="44" spans="1:7" ht="16.5" customHeight="1" hidden="1">
      <c r="A44" s="362" t="s">
        <v>138</v>
      </c>
      <c r="B44" s="363"/>
      <c r="C44" s="363"/>
      <c r="D44" s="363"/>
      <c r="E44" s="363"/>
      <c r="F44" s="364"/>
      <c r="G44" s="185">
        <f>SUM(G42:G43)</f>
        <v>1919.47</v>
      </c>
    </row>
    <row r="45" spans="2:13" s="158" customFormat="1" ht="13.5" hidden="1">
      <c r="B45" s="190"/>
      <c r="E45" s="310"/>
      <c r="F45" s="310"/>
      <c r="G45" s="310"/>
      <c r="I45" s="167"/>
      <c r="J45" s="166"/>
      <c r="K45" s="166"/>
      <c r="L45" s="166"/>
      <c r="M45" s="166"/>
    </row>
    <row r="46" spans="1:13" s="158" customFormat="1" ht="16.5" customHeight="1">
      <c r="A46" s="3" t="str">
        <f>ORÇAMENTO!A22</f>
        <v>Ipixuna do Pará (PA),</v>
      </c>
      <c r="B46" s="193"/>
      <c r="C46" s="157">
        <f>ORÇAMENTO!D22</f>
        <v>44783</v>
      </c>
      <c r="D46" s="3"/>
      <c r="E46" s="3"/>
      <c r="F46" s="3"/>
      <c r="G46" s="3"/>
      <c r="I46" s="167"/>
      <c r="J46" s="166"/>
      <c r="K46" s="166"/>
      <c r="L46" s="166"/>
      <c r="M46" s="166"/>
    </row>
    <row r="47" spans="1:13" s="158" customFormat="1" ht="14.25" customHeight="1">
      <c r="A47" s="3"/>
      <c r="B47" s="193"/>
      <c r="C47" s="3"/>
      <c r="D47" s="3"/>
      <c r="E47" s="3"/>
      <c r="F47" s="3"/>
      <c r="G47" s="3"/>
      <c r="I47" s="167"/>
      <c r="J47" s="166"/>
      <c r="K47" s="166"/>
      <c r="L47" s="166"/>
      <c r="M47" s="166"/>
    </row>
    <row r="48" spans="1:13" s="158" customFormat="1" ht="14.25" customHeight="1">
      <c r="A48" s="3"/>
      <c r="B48" s="193"/>
      <c r="C48" s="3"/>
      <c r="D48" s="3"/>
      <c r="E48" s="3"/>
      <c r="F48" s="3"/>
      <c r="G48" s="3"/>
      <c r="I48" s="167"/>
      <c r="J48" s="166"/>
      <c r="K48" s="166"/>
      <c r="L48" s="166"/>
      <c r="M48" s="166"/>
    </row>
    <row r="49" spans="1:13" s="158" customFormat="1" ht="14.25" customHeight="1">
      <c r="A49" s="3"/>
      <c r="B49" s="193"/>
      <c r="C49" s="3"/>
      <c r="D49" s="3"/>
      <c r="E49" s="3"/>
      <c r="F49" s="3"/>
      <c r="G49" s="3"/>
      <c r="I49" s="167"/>
      <c r="J49" s="166"/>
      <c r="K49" s="166"/>
      <c r="L49" s="166"/>
      <c r="M49" s="166"/>
    </row>
    <row r="50" spans="1:13" s="158" customFormat="1" ht="14.25" customHeight="1">
      <c r="A50" s="3"/>
      <c r="B50" s="193"/>
      <c r="C50" s="3"/>
      <c r="D50" s="3"/>
      <c r="E50" s="3"/>
      <c r="F50" s="3"/>
      <c r="G50" s="3"/>
      <c r="I50" s="167"/>
      <c r="J50" s="166"/>
      <c r="K50" s="166"/>
      <c r="L50" s="166"/>
      <c r="M50" s="166"/>
    </row>
    <row r="51" spans="1:13" s="158" customFormat="1" ht="14.25" customHeight="1">
      <c r="A51" s="3"/>
      <c r="B51" s="193"/>
      <c r="C51" s="169"/>
      <c r="D51" s="3"/>
      <c r="E51" s="3"/>
      <c r="F51" s="3"/>
      <c r="G51" s="169"/>
      <c r="I51" s="166"/>
      <c r="J51" s="166"/>
      <c r="K51" s="166"/>
      <c r="L51" s="166"/>
      <c r="M51" s="166"/>
    </row>
    <row r="52" spans="1:8" s="158" customFormat="1" ht="13.5">
      <c r="A52" s="3" t="str">
        <f>ORÇAMENTO!A29</f>
        <v>TÉCNICO RESPONSÁVEL:</v>
      </c>
      <c r="B52" s="193"/>
      <c r="C52" s="3"/>
      <c r="D52" s="3"/>
      <c r="E52" s="3"/>
      <c r="F52" s="3"/>
      <c r="G52" s="3"/>
      <c r="H52" s="166"/>
    </row>
    <row r="53" spans="1:2" s="158" customFormat="1" ht="12.75">
      <c r="A53" s="3" t="str">
        <f>ORÇAMENTO!A30</f>
        <v>ENG. CIVIL ALICE MORAIS</v>
      </c>
      <c r="B53" s="190"/>
    </row>
    <row r="54" spans="1:2" s="158" customFormat="1" ht="12.75">
      <c r="A54" s="3" t="str">
        <f>ORÇAMENTO!A31</f>
        <v>CREA 151.686.693-2</v>
      </c>
      <c r="B54" s="190"/>
    </row>
    <row r="56" spans="4:7" ht="13.5">
      <c r="D56" s="54"/>
      <c r="E56" s="54"/>
      <c r="F56" s="15"/>
      <c r="G56" s="55"/>
    </row>
    <row r="57" spans="1:7" ht="14.25">
      <c r="A57" s="176"/>
      <c r="B57" s="195"/>
      <c r="C57" s="177"/>
      <c r="D57" s="178"/>
      <c r="E57" s="179"/>
      <c r="F57" s="15"/>
      <c r="G57" s="55"/>
    </row>
    <row r="58" spans="4:7" ht="13.5">
      <c r="D58" s="54"/>
      <c r="E58" s="54"/>
      <c r="F58" s="54"/>
      <c r="G58" s="55"/>
    </row>
    <row r="59" spans="4:6" ht="12.75">
      <c r="D59" s="54"/>
      <c r="E59" s="54"/>
      <c r="F59" s="54"/>
    </row>
    <row r="60" spans="4:7" ht="13.5">
      <c r="D60" s="54"/>
      <c r="E60" s="54"/>
      <c r="F60" s="54"/>
      <c r="G60" s="55"/>
    </row>
    <row r="61" spans="4:7" ht="12.75">
      <c r="D61" s="54"/>
      <c r="E61" s="54"/>
      <c r="F61" s="54"/>
      <c r="G61" s="54"/>
    </row>
  </sheetData>
  <sheetProtection/>
  <mergeCells count="19">
    <mergeCell ref="C40:E40"/>
    <mergeCell ref="A44:F44"/>
    <mergeCell ref="E45:G45"/>
    <mergeCell ref="A38:F38"/>
    <mergeCell ref="E39:G39"/>
    <mergeCell ref="A11:C11"/>
    <mergeCell ref="A7:D7"/>
    <mergeCell ref="A8:C8"/>
    <mergeCell ref="D8:G8"/>
    <mergeCell ref="A9:C9"/>
    <mergeCell ref="D9:G9"/>
    <mergeCell ref="A10:C10"/>
    <mergeCell ref="D10:G10"/>
    <mergeCell ref="E21:G21"/>
    <mergeCell ref="A20:F20"/>
    <mergeCell ref="C13:E13"/>
    <mergeCell ref="C22:E22"/>
    <mergeCell ref="A33:F33"/>
    <mergeCell ref="E34:G34"/>
  </mergeCells>
  <conditionalFormatting sqref="F18 B18 B24 F36 B36:B37 F42 B42:B43 F24 B32">
    <cfRule type="expression" priority="81" dxfId="3">
      <formula>AND($K18="",COMPOSIÇÕES!#REF!="",$D18=2)</formula>
    </cfRule>
    <cfRule type="expression" priority="82" dxfId="2">
      <formula>AND($K18="",COMPOSIÇÕES!#REF!="",$D18=5)</formula>
    </cfRule>
    <cfRule type="expression" priority="83" dxfId="1">
      <formula>AND($K18="",COMPOSIÇÕES!#REF!="",$D18=8)</formula>
    </cfRule>
    <cfRule type="expression" priority="84" dxfId="0">
      <formula>AND($K18="",COMPOSIÇÕES!#REF!="",$D18=11)</formula>
    </cfRule>
  </conditionalFormatting>
  <conditionalFormatting sqref="B15 F15 B17">
    <cfRule type="expression" priority="33" dxfId="3">
      <formula>AND($K15="",COMPOSIÇÕES!#REF!="",$D15=2)</formula>
    </cfRule>
    <cfRule type="expression" priority="34" dxfId="2">
      <formula>AND($K15="",COMPOSIÇÕES!#REF!="",$D15=5)</formula>
    </cfRule>
    <cfRule type="expression" priority="35" dxfId="1">
      <formula>AND($K15="",COMPOSIÇÕES!#REF!="",$D15=8)</formula>
    </cfRule>
    <cfRule type="expression" priority="36" dxfId="0">
      <formula>AND($K15="",COMPOSIÇÕES!#REF!="",$D15=11)</formula>
    </cfRule>
  </conditionalFormatting>
  <conditionalFormatting sqref="F19 B19">
    <cfRule type="expression" priority="29" dxfId="3">
      <formula>AND($K19="",COMPOSIÇÕES!#REF!="",$D19=2)</formula>
    </cfRule>
    <cfRule type="expression" priority="30" dxfId="2">
      <formula>AND($K19="",COMPOSIÇÕES!#REF!="",$D19=5)</formula>
    </cfRule>
    <cfRule type="expression" priority="31" dxfId="1">
      <formula>AND($K19="",COMPOSIÇÕES!#REF!="",$D19=8)</formula>
    </cfRule>
    <cfRule type="expression" priority="32" dxfId="0">
      <formula>AND($K19="",COMPOSIÇÕES!#REF!="",$D19=11)</formula>
    </cfRule>
  </conditionalFormatting>
  <conditionalFormatting sqref="B16 F16">
    <cfRule type="expression" priority="25" dxfId="3">
      <formula>AND($K16="",COMPOSIÇÕES!#REF!="",$D16=2)</formula>
    </cfRule>
    <cfRule type="expression" priority="26" dxfId="2">
      <formula>AND($K16="",COMPOSIÇÕES!#REF!="",$D16=5)</formula>
    </cfRule>
    <cfRule type="expression" priority="27" dxfId="1">
      <formula>AND($K16="",COMPOSIÇÕES!#REF!="",$D16=8)</formula>
    </cfRule>
    <cfRule type="expression" priority="28" dxfId="0">
      <formula>AND($K16="",COMPOSIÇÕES!#REF!="",$D16=11)</formula>
    </cfRule>
  </conditionalFormatting>
  <conditionalFormatting sqref="F30 B30">
    <cfRule type="expression" priority="21" dxfId="3">
      <formula>AND($K30="",COMPOSIÇÕES!#REF!="",$D30=2)</formula>
    </cfRule>
    <cfRule type="expression" priority="22" dxfId="2">
      <formula>AND($K30="",COMPOSIÇÕES!#REF!="",$D30=5)</formula>
    </cfRule>
    <cfRule type="expression" priority="23" dxfId="1">
      <formula>AND($K30="",COMPOSIÇÕES!#REF!="",$D30=8)</formula>
    </cfRule>
    <cfRule type="expression" priority="24" dxfId="0">
      <formula>AND($K30="",COMPOSIÇÕES!#REF!="",$D30=11)</formula>
    </cfRule>
  </conditionalFormatting>
  <conditionalFormatting sqref="B25 F25 B27">
    <cfRule type="expression" priority="17" dxfId="3">
      <formula>AND($K25="",COMPOSIÇÕES!#REF!="",$D25=2)</formula>
    </cfRule>
    <cfRule type="expression" priority="18" dxfId="2">
      <formula>AND($K25="",COMPOSIÇÕES!#REF!="",$D25=5)</formula>
    </cfRule>
    <cfRule type="expression" priority="19" dxfId="1">
      <formula>AND($K25="",COMPOSIÇÕES!#REF!="",$D25=8)</formula>
    </cfRule>
    <cfRule type="expression" priority="20" dxfId="0">
      <formula>AND($K25="",COMPOSIÇÕES!#REF!="",$D25=11)</formula>
    </cfRule>
  </conditionalFormatting>
  <conditionalFormatting sqref="F31 B31">
    <cfRule type="expression" priority="13" dxfId="3">
      <formula>AND($K31="",COMPOSIÇÕES!#REF!="",$D31=2)</formula>
    </cfRule>
    <cfRule type="expression" priority="14" dxfId="2">
      <formula>AND($K31="",COMPOSIÇÕES!#REF!="",$D31=5)</formula>
    </cfRule>
    <cfRule type="expression" priority="15" dxfId="1">
      <formula>AND($K31="",COMPOSIÇÕES!#REF!="",$D31=8)</formula>
    </cfRule>
    <cfRule type="expression" priority="16" dxfId="0">
      <formula>AND($K31="",COMPOSIÇÕES!#REF!="",$D31=11)</formula>
    </cfRule>
  </conditionalFormatting>
  <conditionalFormatting sqref="B26 F26">
    <cfRule type="expression" priority="9" dxfId="3">
      <formula>AND($K26="",COMPOSIÇÕES!#REF!="",$D26=2)</formula>
    </cfRule>
    <cfRule type="expression" priority="10" dxfId="2">
      <formula>AND($K26="",COMPOSIÇÕES!#REF!="",$D26=5)</formula>
    </cfRule>
    <cfRule type="expression" priority="11" dxfId="1">
      <formula>AND($K26="",COMPOSIÇÕES!#REF!="",$D26=8)</formula>
    </cfRule>
    <cfRule type="expression" priority="12" dxfId="0">
      <formula>AND($K26="",COMPOSIÇÕES!#REF!="",$D26=11)</formula>
    </cfRule>
  </conditionalFormatting>
  <conditionalFormatting sqref="F28 B28">
    <cfRule type="expression" priority="5" dxfId="3">
      <formula>AND($K28="",COMPOSIÇÕES!#REF!="",$D28=2)</formula>
    </cfRule>
    <cfRule type="expression" priority="6" dxfId="2">
      <formula>AND($K28="",COMPOSIÇÕES!#REF!="",$D28=5)</formula>
    </cfRule>
    <cfRule type="expression" priority="7" dxfId="1">
      <formula>AND($K28="",COMPOSIÇÕES!#REF!="",$D28=8)</formula>
    </cfRule>
    <cfRule type="expression" priority="8" dxfId="0">
      <formula>AND($K28="",COMPOSIÇÕES!#REF!="",$D28=11)</formula>
    </cfRule>
  </conditionalFormatting>
  <conditionalFormatting sqref="F29 B29">
    <cfRule type="expression" priority="1" dxfId="3">
      <formula>AND($K29="",COMPOSIÇÕES!#REF!="",$D29=2)</formula>
    </cfRule>
    <cfRule type="expression" priority="2" dxfId="2">
      <formula>AND($K29="",COMPOSIÇÕES!#REF!="",$D29=5)</formula>
    </cfRule>
    <cfRule type="expression" priority="3" dxfId="1">
      <formula>AND($K29="",COMPOSIÇÕES!#REF!="",$D29=8)</formula>
    </cfRule>
    <cfRule type="expression" priority="4" dxfId="0">
      <formula>AND($K29="",COMPOSIÇÕES!#REF!="",$D29=11)</formula>
    </cfRule>
  </conditionalFormatting>
  <printOptions horizontalCentered="1"/>
  <pageMargins left="0.2755905511811024" right="0.2362204724409449" top="0.5511811023622047" bottom="0.5905511811023623" header="0.35433070866141736" footer="0.5118110236220472"/>
  <pageSetup fitToHeight="1" fitToWidth="1" horizontalDpi="300" verticalDpi="300" orientation="portrait" paperSize="9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showGridLines="0" view="pageBreakPreview" zoomScaleNormal="85" zoomScaleSheetLayoutView="100" zoomScalePageLayoutView="0" workbookViewId="0" topLeftCell="A1">
      <selection activeCell="J48" sqref="J48"/>
    </sheetView>
  </sheetViews>
  <sheetFormatPr defaultColWidth="8.8515625" defaultRowHeight="12.75"/>
  <cols>
    <col min="1" max="1" width="8.00390625" style="45" customWidth="1"/>
    <col min="2" max="2" width="6.7109375" style="194" customWidth="1"/>
    <col min="3" max="3" width="42.140625" style="45" customWidth="1"/>
    <col min="4" max="4" width="11.28125" style="45" customWidth="1"/>
    <col min="5" max="5" width="14.8515625" style="45" customWidth="1"/>
    <col min="6" max="6" width="10.8515625" style="45" customWidth="1"/>
    <col min="7" max="7" width="13.57421875" style="45" customWidth="1"/>
    <col min="8" max="8" width="1.8515625" style="45" customWidth="1"/>
    <col min="9" max="9" width="10.140625" style="45" bestFit="1" customWidth="1"/>
    <col min="10" max="10" width="13.7109375" style="45" customWidth="1"/>
    <col min="11" max="12" width="11.57421875" style="45" bestFit="1" customWidth="1"/>
    <col min="13" max="16384" width="8.8515625" style="45" customWidth="1"/>
  </cols>
  <sheetData>
    <row r="1" spans="1:6" s="158" customFormat="1" ht="12.75">
      <c r="A1" s="46" t="str">
        <f>ORÇAMENTO!$A$1</f>
        <v>PREFEITURA MUNICIPAL DE IPIXUNA DO PARÁ</v>
      </c>
      <c r="B1" s="188"/>
      <c r="C1" s="46"/>
      <c r="D1" s="46"/>
      <c r="E1" s="46"/>
      <c r="F1" s="46"/>
    </row>
    <row r="2" spans="1:6" s="158" customFormat="1" ht="12.75">
      <c r="A2" s="46" t="str">
        <f>ORÇAMENTO!$A$2</f>
        <v>CNPJ: 83.268.011/0001-84</v>
      </c>
      <c r="B2" s="188"/>
      <c r="C2" s="46"/>
      <c r="D2" s="46"/>
      <c r="E2" s="46"/>
      <c r="F2" s="46"/>
    </row>
    <row r="3" spans="1:6" s="158" customFormat="1" ht="12.75">
      <c r="A3" s="46" t="str">
        <f>ORÇAMENTO!$A$3</f>
        <v>SECRETARIA MUNICIPAL DE OBRAS, TRANSPORTE, ÁGUA E URBANISMO</v>
      </c>
      <c r="B3" s="188"/>
      <c r="C3" s="46"/>
      <c r="D3" s="46"/>
      <c r="E3" s="46"/>
      <c r="F3" s="46"/>
    </row>
    <row r="4" spans="1:6" s="158" customFormat="1" ht="12.75">
      <c r="A4" s="46" t="str">
        <f>ORÇAMENTO!$A$4</f>
        <v>ENDEREÇO: AV. PRESIDENTE GETÚLIO VARGAS, 505. CENTRO.</v>
      </c>
      <c r="B4" s="188"/>
      <c r="C4" s="46"/>
      <c r="D4" s="46"/>
      <c r="E4" s="46"/>
      <c r="F4" s="46"/>
    </row>
    <row r="5" spans="1:6" s="158" customFormat="1" ht="12.75">
      <c r="A5" s="46" t="str">
        <f>ORÇAMENTO!$A$5</f>
        <v>OBJETO:</v>
      </c>
      <c r="B5" s="188" t="str">
        <f>ORÇAMENTO!C5</f>
        <v>PAVIMENTAÇÃO DE VIAS COM BLOCO DE CONCRETO INTERTRAVADO</v>
      </c>
      <c r="C5" s="46"/>
      <c r="D5" s="46"/>
      <c r="E5" s="46"/>
      <c r="F5" s="46"/>
    </row>
    <row r="6" spans="1:6" s="158" customFormat="1" ht="13.5">
      <c r="A6" s="46" t="str">
        <f>ORÇAMENTO!$A$6</f>
        <v>REFERÊNCIA: SINAPI JUNHO/2022 - DESONERADO / SEDOP 05/2022</v>
      </c>
      <c r="B6" s="189"/>
      <c r="C6" s="159"/>
      <c r="D6" s="4"/>
      <c r="E6" s="46"/>
      <c r="F6" s="46"/>
    </row>
    <row r="7" spans="1:6" s="158" customFormat="1" ht="27" customHeight="1" thickBot="1">
      <c r="A7" s="370" t="str">
        <f>ORÇAMENTO!$A$7</f>
        <v>RESPONSAVEL TÉCNICO: ENG. CIVIL ALICE C. OLIVEIRA DE MORAIS  / CREA 151.686.693-2
Contato: (91) 98468-1798 e-mail: alicemorais.co@gmail.com</v>
      </c>
      <c r="B7" s="370"/>
      <c r="C7" s="370"/>
      <c r="D7" s="370"/>
      <c r="E7" s="370"/>
      <c r="F7" s="370"/>
    </row>
    <row r="8" spans="1:8" s="3" customFormat="1" ht="12.75">
      <c r="A8" s="276" t="s">
        <v>6</v>
      </c>
      <c r="B8" s="266"/>
      <c r="C8" s="266"/>
      <c r="D8" s="265" t="s">
        <v>11</v>
      </c>
      <c r="E8" s="266"/>
      <c r="F8" s="266"/>
      <c r="G8" s="266"/>
      <c r="H8" s="267"/>
    </row>
    <row r="9" spans="1:8" s="3" customFormat="1" ht="13.5" customHeight="1">
      <c r="A9" s="271" t="str">
        <f>ORÇAMENTO!A10</f>
        <v>PREFEITURA MUNICIPAL DE IPIXUNA DO PARÁ</v>
      </c>
      <c r="B9" s="269"/>
      <c r="C9" s="269"/>
      <c r="D9" s="268" t="s">
        <v>139</v>
      </c>
      <c r="E9" s="269"/>
      <c r="F9" s="269"/>
      <c r="G9" s="269"/>
      <c r="H9" s="270"/>
    </row>
    <row r="10" spans="1:8" s="3" customFormat="1" ht="12.75">
      <c r="A10" s="273" t="s">
        <v>12</v>
      </c>
      <c r="B10" s="274"/>
      <c r="C10" s="274"/>
      <c r="D10" s="290" t="s">
        <v>15</v>
      </c>
      <c r="E10" s="274"/>
      <c r="F10" s="274"/>
      <c r="G10" s="274"/>
      <c r="H10" s="291"/>
    </row>
    <row r="11" spans="1:8" s="3" customFormat="1" ht="18" customHeight="1" thickBot="1">
      <c r="A11" s="287" t="str">
        <f>B5</f>
        <v>PAVIMENTAÇÃO DE VIAS COM BLOCO DE CONCRETO INTERTRAVADO</v>
      </c>
      <c r="B11" s="288"/>
      <c r="C11" s="288"/>
      <c r="D11" s="156" t="str">
        <f>ORÇAMENTO!E12</f>
        <v>ENG. CIVIL ALICE MORAIS</v>
      </c>
      <c r="E11" s="49"/>
      <c r="F11" s="49" t="str">
        <f>ORÇAMENTO!H12</f>
        <v>CREA 151.686.693-2</v>
      </c>
      <c r="G11" s="49"/>
      <c r="H11" s="50"/>
    </row>
    <row r="12" spans="2:14" s="158" customFormat="1" ht="15" customHeight="1">
      <c r="B12" s="190"/>
      <c r="N12" s="166"/>
    </row>
    <row r="13" spans="1:14" s="158" customFormat="1" ht="17.25" customHeight="1">
      <c r="A13" s="371" t="s">
        <v>140</v>
      </c>
      <c r="B13" s="371"/>
      <c r="C13" s="371"/>
      <c r="D13" s="371"/>
      <c r="E13" s="371"/>
      <c r="F13" s="371"/>
      <c r="G13" s="371"/>
      <c r="N13" s="166"/>
    </row>
    <row r="14" spans="1:14" s="46" customFormat="1" ht="17.25" customHeight="1">
      <c r="A14" s="369" t="s">
        <v>132</v>
      </c>
      <c r="B14" s="369"/>
      <c r="C14" s="369" t="s">
        <v>56</v>
      </c>
      <c r="D14" s="369" t="s">
        <v>141</v>
      </c>
      <c r="E14" s="369"/>
      <c r="F14" s="369" t="s">
        <v>142</v>
      </c>
      <c r="G14" s="369"/>
      <c r="N14" s="196"/>
    </row>
    <row r="15" spans="1:14" s="46" customFormat="1" ht="30" customHeight="1">
      <c r="A15" s="369"/>
      <c r="B15" s="369"/>
      <c r="C15" s="369"/>
      <c r="D15" s="197" t="s">
        <v>143</v>
      </c>
      <c r="E15" s="197" t="s">
        <v>144</v>
      </c>
      <c r="F15" s="197" t="s">
        <v>143</v>
      </c>
      <c r="G15" s="197" t="s">
        <v>144</v>
      </c>
      <c r="N15" s="196"/>
    </row>
    <row r="16" spans="1:14" s="158" customFormat="1" ht="15" customHeight="1">
      <c r="A16" s="369" t="s">
        <v>145</v>
      </c>
      <c r="B16" s="369"/>
      <c r="C16" s="204"/>
      <c r="D16" s="204"/>
      <c r="E16" s="204"/>
      <c r="F16" s="204"/>
      <c r="G16" s="204"/>
      <c r="N16" s="166"/>
    </row>
    <row r="17" spans="1:14" s="158" customFormat="1" ht="15" customHeight="1">
      <c r="A17" s="368" t="s">
        <v>146</v>
      </c>
      <c r="B17" s="368"/>
      <c r="C17" s="198" t="s">
        <v>147</v>
      </c>
      <c r="D17" s="199">
        <v>0</v>
      </c>
      <c r="E17" s="199">
        <v>0</v>
      </c>
      <c r="F17" s="199">
        <v>0.2</v>
      </c>
      <c r="G17" s="199">
        <v>0.2</v>
      </c>
      <c r="N17" s="166"/>
    </row>
    <row r="18" spans="1:14" s="158" customFormat="1" ht="15" customHeight="1">
      <c r="A18" s="368" t="s">
        <v>148</v>
      </c>
      <c r="B18" s="368"/>
      <c r="C18" s="198" t="s">
        <v>149</v>
      </c>
      <c r="D18" s="199">
        <v>0.015</v>
      </c>
      <c r="E18" s="199">
        <v>0.015</v>
      </c>
      <c r="F18" s="199">
        <v>0.015</v>
      </c>
      <c r="G18" s="199">
        <v>0.015</v>
      </c>
      <c r="N18" s="166"/>
    </row>
    <row r="19" spans="1:14" s="158" customFormat="1" ht="15" customHeight="1">
      <c r="A19" s="368" t="s">
        <v>150</v>
      </c>
      <c r="B19" s="368"/>
      <c r="C19" s="198" t="s">
        <v>151</v>
      </c>
      <c r="D19" s="199">
        <v>0.01</v>
      </c>
      <c r="E19" s="199">
        <v>0.01</v>
      </c>
      <c r="F19" s="199">
        <v>0.01</v>
      </c>
      <c r="G19" s="199">
        <v>0.01</v>
      </c>
      <c r="N19" s="166"/>
    </row>
    <row r="20" spans="1:14" s="158" customFormat="1" ht="15" customHeight="1">
      <c r="A20" s="368" t="s">
        <v>152</v>
      </c>
      <c r="B20" s="368"/>
      <c r="C20" s="198" t="s">
        <v>153</v>
      </c>
      <c r="D20" s="199">
        <v>0.002</v>
      </c>
      <c r="E20" s="199">
        <v>0.002</v>
      </c>
      <c r="F20" s="199">
        <v>0.002</v>
      </c>
      <c r="G20" s="199">
        <v>0.002</v>
      </c>
      <c r="N20" s="166"/>
    </row>
    <row r="21" spans="1:14" s="158" customFormat="1" ht="15" customHeight="1">
      <c r="A21" s="368" t="s">
        <v>154</v>
      </c>
      <c r="B21" s="368"/>
      <c r="C21" s="198" t="s">
        <v>155</v>
      </c>
      <c r="D21" s="199">
        <v>0.006</v>
      </c>
      <c r="E21" s="199">
        <v>0.006</v>
      </c>
      <c r="F21" s="199">
        <v>0.006</v>
      </c>
      <c r="G21" s="199">
        <v>0.006</v>
      </c>
      <c r="N21" s="166"/>
    </row>
    <row r="22" spans="1:14" s="158" customFormat="1" ht="15" customHeight="1">
      <c r="A22" s="368" t="s">
        <v>156</v>
      </c>
      <c r="B22" s="368"/>
      <c r="C22" s="198" t="s">
        <v>157</v>
      </c>
      <c r="D22" s="199">
        <v>0.025</v>
      </c>
      <c r="E22" s="199">
        <v>0.025</v>
      </c>
      <c r="F22" s="199">
        <v>0.025</v>
      </c>
      <c r="G22" s="199">
        <v>0.025</v>
      </c>
      <c r="N22" s="166"/>
    </row>
    <row r="23" spans="1:14" s="158" customFormat="1" ht="15" customHeight="1">
      <c r="A23" s="368" t="s">
        <v>158</v>
      </c>
      <c r="B23" s="368"/>
      <c r="C23" s="198" t="s">
        <v>159</v>
      </c>
      <c r="D23" s="199">
        <v>0.03</v>
      </c>
      <c r="E23" s="199">
        <v>0.03</v>
      </c>
      <c r="F23" s="199">
        <v>0.03</v>
      </c>
      <c r="G23" s="199">
        <v>0.03</v>
      </c>
      <c r="N23" s="166"/>
    </row>
    <row r="24" spans="1:14" s="158" customFormat="1" ht="15" customHeight="1">
      <c r="A24" s="368" t="s">
        <v>160</v>
      </c>
      <c r="B24" s="368"/>
      <c r="C24" s="198" t="s">
        <v>161</v>
      </c>
      <c r="D24" s="199">
        <v>0.08</v>
      </c>
      <c r="E24" s="199">
        <v>0.08</v>
      </c>
      <c r="F24" s="199">
        <v>0.08</v>
      </c>
      <c r="G24" s="199">
        <v>0.08</v>
      </c>
      <c r="N24" s="166"/>
    </row>
    <row r="25" spans="1:14" s="158" customFormat="1" ht="15" customHeight="1">
      <c r="A25" s="368" t="s">
        <v>162</v>
      </c>
      <c r="B25" s="368"/>
      <c r="C25" s="198" t="s">
        <v>163</v>
      </c>
      <c r="D25" s="199">
        <v>0</v>
      </c>
      <c r="E25" s="199">
        <v>0</v>
      </c>
      <c r="F25" s="199">
        <v>0</v>
      </c>
      <c r="G25" s="199">
        <v>0</v>
      </c>
      <c r="N25" s="166"/>
    </row>
    <row r="26" spans="1:14" s="158" customFormat="1" ht="15" customHeight="1">
      <c r="A26" s="369" t="s">
        <v>164</v>
      </c>
      <c r="B26" s="369"/>
      <c r="C26" s="200" t="s">
        <v>16</v>
      </c>
      <c r="D26" s="201">
        <f>SUM(D17:D25)</f>
        <v>0.16799999999999998</v>
      </c>
      <c r="E26" s="201">
        <f>SUM(E17:E25)</f>
        <v>0.16799999999999998</v>
      </c>
      <c r="F26" s="201">
        <f>SUM(F17:F25)</f>
        <v>0.36800000000000005</v>
      </c>
      <c r="G26" s="201">
        <f>SUM(G17:G25)</f>
        <v>0.36800000000000005</v>
      </c>
      <c r="N26" s="166"/>
    </row>
    <row r="27" spans="1:14" s="158" customFormat="1" ht="15" customHeight="1">
      <c r="A27" s="369" t="s">
        <v>165</v>
      </c>
      <c r="B27" s="369"/>
      <c r="C27" s="204"/>
      <c r="D27" s="204"/>
      <c r="E27" s="204"/>
      <c r="F27" s="204"/>
      <c r="G27" s="204"/>
      <c r="N27" s="166"/>
    </row>
    <row r="28" spans="1:14" s="158" customFormat="1" ht="15" customHeight="1">
      <c r="A28" s="368" t="s">
        <v>166</v>
      </c>
      <c r="B28" s="368"/>
      <c r="C28" s="198" t="s">
        <v>167</v>
      </c>
      <c r="D28" s="199">
        <v>0.1811</v>
      </c>
      <c r="E28" s="202" t="s">
        <v>168</v>
      </c>
      <c r="F28" s="199">
        <f aca="true" t="shared" si="0" ref="F28:G37">D28</f>
        <v>0.1811</v>
      </c>
      <c r="G28" s="202" t="str">
        <f t="shared" si="0"/>
        <v>Não incide</v>
      </c>
      <c r="N28" s="166"/>
    </row>
    <row r="29" spans="1:14" s="158" customFormat="1" ht="15" customHeight="1">
      <c r="A29" s="368" t="s">
        <v>169</v>
      </c>
      <c r="B29" s="368"/>
      <c r="C29" s="198" t="s">
        <v>170</v>
      </c>
      <c r="D29" s="199">
        <v>0.0415</v>
      </c>
      <c r="E29" s="202" t="s">
        <v>168</v>
      </c>
      <c r="F29" s="199">
        <f t="shared" si="0"/>
        <v>0.0415</v>
      </c>
      <c r="G29" s="202" t="str">
        <f t="shared" si="0"/>
        <v>Não incide</v>
      </c>
      <c r="N29" s="166"/>
    </row>
    <row r="30" spans="1:14" s="158" customFormat="1" ht="15" customHeight="1">
      <c r="A30" s="368" t="s">
        <v>171</v>
      </c>
      <c r="B30" s="368"/>
      <c r="C30" s="198" t="s">
        <v>172</v>
      </c>
      <c r="D30" s="199">
        <v>0.0091</v>
      </c>
      <c r="E30" s="199">
        <v>0.0069</v>
      </c>
      <c r="F30" s="199">
        <f t="shared" si="0"/>
        <v>0.0091</v>
      </c>
      <c r="G30" s="199">
        <f t="shared" si="0"/>
        <v>0.0069</v>
      </c>
      <c r="N30" s="166"/>
    </row>
    <row r="31" spans="1:14" s="158" customFormat="1" ht="15" customHeight="1">
      <c r="A31" s="368" t="s">
        <v>173</v>
      </c>
      <c r="B31" s="368"/>
      <c r="C31" s="198" t="s">
        <v>174</v>
      </c>
      <c r="D31" s="199">
        <v>0.1094</v>
      </c>
      <c r="E31" s="199">
        <v>0.0833</v>
      </c>
      <c r="F31" s="199">
        <f t="shared" si="0"/>
        <v>0.1094</v>
      </c>
      <c r="G31" s="199">
        <f t="shared" si="0"/>
        <v>0.0833</v>
      </c>
      <c r="N31" s="166"/>
    </row>
    <row r="32" spans="1:14" s="158" customFormat="1" ht="15" customHeight="1">
      <c r="A32" s="368" t="s">
        <v>175</v>
      </c>
      <c r="B32" s="368"/>
      <c r="C32" s="198" t="s">
        <v>176</v>
      </c>
      <c r="D32" s="199">
        <v>0.0007</v>
      </c>
      <c r="E32" s="199">
        <v>0.0006</v>
      </c>
      <c r="F32" s="199">
        <f t="shared" si="0"/>
        <v>0.0007</v>
      </c>
      <c r="G32" s="199">
        <f t="shared" si="0"/>
        <v>0.0006</v>
      </c>
      <c r="N32" s="166"/>
    </row>
    <row r="33" spans="1:14" s="158" customFormat="1" ht="15" customHeight="1">
      <c r="A33" s="368" t="s">
        <v>177</v>
      </c>
      <c r="B33" s="368"/>
      <c r="C33" s="198" t="s">
        <v>178</v>
      </c>
      <c r="D33" s="199">
        <v>0.0073</v>
      </c>
      <c r="E33" s="199">
        <v>0.0056</v>
      </c>
      <c r="F33" s="199">
        <f t="shared" si="0"/>
        <v>0.0073</v>
      </c>
      <c r="G33" s="199">
        <f t="shared" si="0"/>
        <v>0.0056</v>
      </c>
      <c r="N33" s="166"/>
    </row>
    <row r="34" spans="1:14" s="158" customFormat="1" ht="15" customHeight="1">
      <c r="A34" s="368" t="s">
        <v>179</v>
      </c>
      <c r="B34" s="368"/>
      <c r="C34" s="198" t="s">
        <v>180</v>
      </c>
      <c r="D34" s="199">
        <v>0.0266</v>
      </c>
      <c r="E34" s="202" t="s">
        <v>168</v>
      </c>
      <c r="F34" s="199">
        <f t="shared" si="0"/>
        <v>0.0266</v>
      </c>
      <c r="G34" s="202" t="str">
        <f t="shared" si="0"/>
        <v>Não incide</v>
      </c>
      <c r="N34" s="166"/>
    </row>
    <row r="35" spans="1:14" s="158" customFormat="1" ht="15" customHeight="1">
      <c r="A35" s="368" t="s">
        <v>181</v>
      </c>
      <c r="B35" s="368"/>
      <c r="C35" s="198" t="s">
        <v>182</v>
      </c>
      <c r="D35" s="199">
        <v>0.0011</v>
      </c>
      <c r="E35" s="199">
        <v>0.0009</v>
      </c>
      <c r="F35" s="199">
        <f t="shared" si="0"/>
        <v>0.0011</v>
      </c>
      <c r="G35" s="199">
        <f t="shared" si="0"/>
        <v>0.0009</v>
      </c>
      <c r="N35" s="166"/>
    </row>
    <row r="36" spans="1:14" s="158" customFormat="1" ht="15" customHeight="1">
      <c r="A36" s="368" t="s">
        <v>183</v>
      </c>
      <c r="B36" s="368"/>
      <c r="C36" s="198" t="s">
        <v>184</v>
      </c>
      <c r="D36" s="199">
        <v>0.0853</v>
      </c>
      <c r="E36" s="199">
        <v>0.065</v>
      </c>
      <c r="F36" s="199">
        <f t="shared" si="0"/>
        <v>0.0853</v>
      </c>
      <c r="G36" s="199">
        <f t="shared" si="0"/>
        <v>0.065</v>
      </c>
      <c r="N36" s="166"/>
    </row>
    <row r="37" spans="1:14" s="158" customFormat="1" ht="15" customHeight="1">
      <c r="A37" s="368" t="s">
        <v>185</v>
      </c>
      <c r="B37" s="368"/>
      <c r="C37" s="198" t="s">
        <v>186</v>
      </c>
      <c r="D37" s="199">
        <v>0.0003</v>
      </c>
      <c r="E37" s="199">
        <v>0.0003</v>
      </c>
      <c r="F37" s="199">
        <f t="shared" si="0"/>
        <v>0.0003</v>
      </c>
      <c r="G37" s="199">
        <f t="shared" si="0"/>
        <v>0.0003</v>
      </c>
      <c r="N37" s="166"/>
    </row>
    <row r="38" spans="1:14" s="158" customFormat="1" ht="15" customHeight="1">
      <c r="A38" s="369" t="s">
        <v>187</v>
      </c>
      <c r="B38" s="369"/>
      <c r="C38" s="200" t="s">
        <v>16</v>
      </c>
      <c r="D38" s="201">
        <f>SUM(D28:D37)</f>
        <v>0.4624</v>
      </c>
      <c r="E38" s="201">
        <f>SUM(E28:E37)</f>
        <v>0.1626</v>
      </c>
      <c r="F38" s="201">
        <f>SUM(F28:F37)</f>
        <v>0.4624</v>
      </c>
      <c r="G38" s="201">
        <f>SUM(G28:G37)</f>
        <v>0.1626</v>
      </c>
      <c r="N38" s="166"/>
    </row>
    <row r="39" spans="1:14" s="158" customFormat="1" ht="15" customHeight="1">
      <c r="A39" s="369" t="s">
        <v>188</v>
      </c>
      <c r="B39" s="369"/>
      <c r="C39" s="204"/>
      <c r="D39" s="204"/>
      <c r="E39" s="204"/>
      <c r="F39" s="204"/>
      <c r="G39" s="204"/>
      <c r="N39" s="166"/>
    </row>
    <row r="40" spans="1:14" s="158" customFormat="1" ht="15" customHeight="1">
      <c r="A40" s="368" t="s">
        <v>189</v>
      </c>
      <c r="B40" s="368"/>
      <c r="C40" s="198" t="s">
        <v>190</v>
      </c>
      <c r="D40" s="199">
        <v>0.0523</v>
      </c>
      <c r="E40" s="199">
        <v>0.0398</v>
      </c>
      <c r="F40" s="199">
        <f>D40</f>
        <v>0.0523</v>
      </c>
      <c r="G40" s="199">
        <f>E40</f>
        <v>0.0398</v>
      </c>
      <c r="N40" s="166"/>
    </row>
    <row r="41" spans="1:14" s="158" customFormat="1" ht="15" customHeight="1">
      <c r="A41" s="368" t="s">
        <v>191</v>
      </c>
      <c r="B41" s="368"/>
      <c r="C41" s="198" t="s">
        <v>192</v>
      </c>
      <c r="D41" s="199">
        <v>0.0012</v>
      </c>
      <c r="E41" s="199">
        <v>0.0009</v>
      </c>
      <c r="F41" s="199">
        <f aca="true" t="shared" si="1" ref="F41:G44">D41</f>
        <v>0.0012</v>
      </c>
      <c r="G41" s="199">
        <f t="shared" si="1"/>
        <v>0.0009</v>
      </c>
      <c r="N41" s="166"/>
    </row>
    <row r="42" spans="1:14" s="158" customFormat="1" ht="15" customHeight="1">
      <c r="A42" s="368" t="s">
        <v>193</v>
      </c>
      <c r="B42" s="368"/>
      <c r="C42" s="198" t="s">
        <v>194</v>
      </c>
      <c r="D42" s="199">
        <v>0.0528</v>
      </c>
      <c r="E42" s="199">
        <v>0.0402</v>
      </c>
      <c r="F42" s="199">
        <f t="shared" si="1"/>
        <v>0.0528</v>
      </c>
      <c r="G42" s="199">
        <f t="shared" si="1"/>
        <v>0.0402</v>
      </c>
      <c r="N42" s="166"/>
    </row>
    <row r="43" spans="1:14" s="158" customFormat="1" ht="15" customHeight="1">
      <c r="A43" s="368" t="s">
        <v>195</v>
      </c>
      <c r="B43" s="368"/>
      <c r="C43" s="198" t="s">
        <v>196</v>
      </c>
      <c r="D43" s="199">
        <v>0.039</v>
      </c>
      <c r="E43" s="199">
        <v>0.0297</v>
      </c>
      <c r="F43" s="199">
        <f t="shared" si="1"/>
        <v>0.039</v>
      </c>
      <c r="G43" s="199">
        <f t="shared" si="1"/>
        <v>0.0297</v>
      </c>
      <c r="N43" s="166"/>
    </row>
    <row r="44" spans="1:14" s="158" customFormat="1" ht="15" customHeight="1">
      <c r="A44" s="368" t="s">
        <v>197</v>
      </c>
      <c r="B44" s="368"/>
      <c r="C44" s="198" t="s">
        <v>198</v>
      </c>
      <c r="D44" s="199">
        <v>0.0044</v>
      </c>
      <c r="E44" s="199">
        <v>0.0034</v>
      </c>
      <c r="F44" s="199">
        <f t="shared" si="1"/>
        <v>0.0044</v>
      </c>
      <c r="G44" s="199">
        <f t="shared" si="1"/>
        <v>0.0034</v>
      </c>
      <c r="N44" s="166"/>
    </row>
    <row r="45" spans="1:14" s="158" customFormat="1" ht="15" customHeight="1">
      <c r="A45" s="369" t="s">
        <v>199</v>
      </c>
      <c r="B45" s="369"/>
      <c r="C45" s="200" t="s">
        <v>16</v>
      </c>
      <c r="D45" s="201">
        <f>SUM(D40:D44)</f>
        <v>0.1497</v>
      </c>
      <c r="E45" s="201">
        <f>SUM(E40:E44)</f>
        <v>0.114</v>
      </c>
      <c r="F45" s="201">
        <f>SUM(F40:F44)</f>
        <v>0.1497</v>
      </c>
      <c r="G45" s="201">
        <f>SUM(G40:G44)</f>
        <v>0.114</v>
      </c>
      <c r="N45" s="166"/>
    </row>
    <row r="46" spans="1:14" s="158" customFormat="1" ht="15" customHeight="1">
      <c r="A46" s="369" t="s">
        <v>200</v>
      </c>
      <c r="B46" s="369"/>
      <c r="C46" s="204"/>
      <c r="D46" s="204"/>
      <c r="E46" s="204"/>
      <c r="F46" s="204"/>
      <c r="G46" s="204"/>
      <c r="N46" s="166"/>
    </row>
    <row r="47" spans="1:14" s="158" customFormat="1" ht="15" customHeight="1">
      <c r="A47" s="368" t="s">
        <v>201</v>
      </c>
      <c r="B47" s="368"/>
      <c r="C47" s="198" t="s">
        <v>202</v>
      </c>
      <c r="D47" s="199">
        <v>0.0777</v>
      </c>
      <c r="E47" s="199">
        <v>0.0273</v>
      </c>
      <c r="F47" s="199">
        <v>0.1702</v>
      </c>
      <c r="G47" s="199">
        <v>0.0598</v>
      </c>
      <c r="N47" s="166"/>
    </row>
    <row r="48" spans="1:14" s="158" customFormat="1" ht="44.25" customHeight="1">
      <c r="A48" s="368" t="s">
        <v>203</v>
      </c>
      <c r="B48" s="368"/>
      <c r="C48" s="203" t="s">
        <v>204</v>
      </c>
      <c r="D48" s="199">
        <v>0.0044</v>
      </c>
      <c r="E48" s="199">
        <v>0.0033</v>
      </c>
      <c r="F48" s="199">
        <v>0.0046</v>
      </c>
      <c r="G48" s="199">
        <v>0.0035</v>
      </c>
      <c r="N48" s="166"/>
    </row>
    <row r="49" spans="1:14" s="158" customFormat="1" ht="15" customHeight="1">
      <c r="A49" s="369" t="s">
        <v>205</v>
      </c>
      <c r="B49" s="369"/>
      <c r="C49" s="200" t="s">
        <v>16</v>
      </c>
      <c r="D49" s="201">
        <f>SUM(D47:D48)</f>
        <v>0.0821</v>
      </c>
      <c r="E49" s="201">
        <f>SUM(E47:E48)</f>
        <v>0.030600000000000002</v>
      </c>
      <c r="F49" s="201">
        <f>SUM(F47:F48)</f>
        <v>0.17479999999999998</v>
      </c>
      <c r="G49" s="201">
        <f>SUM(G47:G48)</f>
        <v>0.0633</v>
      </c>
      <c r="N49" s="166"/>
    </row>
    <row r="50" spans="1:14" s="158" customFormat="1" ht="15" customHeight="1">
      <c r="A50" s="365" t="s">
        <v>206</v>
      </c>
      <c r="B50" s="366"/>
      <c r="C50" s="367"/>
      <c r="D50" s="201">
        <f>D26+D38+D45+D49</f>
        <v>0.8622000000000001</v>
      </c>
      <c r="E50" s="201">
        <f>E26+E38+E45+E49</f>
        <v>0.4752</v>
      </c>
      <c r="F50" s="201">
        <f>F26+F38+F45+F49</f>
        <v>1.1549</v>
      </c>
      <c r="G50" s="201">
        <f>G26+G38+G45+G49</f>
        <v>0.7079000000000001</v>
      </c>
      <c r="J50" s="167"/>
      <c r="K50" s="168"/>
      <c r="L50" s="165"/>
      <c r="M50" s="166"/>
      <c r="N50" s="166"/>
    </row>
    <row r="51" spans="2:14" s="158" customFormat="1" ht="15" customHeight="1">
      <c r="B51" s="190"/>
      <c r="J51" s="167"/>
      <c r="K51" s="168"/>
      <c r="L51" s="165"/>
      <c r="M51" s="166"/>
      <c r="N51" s="166"/>
    </row>
    <row r="52" spans="2:14" s="158" customFormat="1" ht="15" customHeight="1">
      <c r="B52" s="190"/>
      <c r="E52" s="310"/>
      <c r="F52" s="310"/>
      <c r="G52" s="310"/>
      <c r="H52" s="310"/>
      <c r="J52" s="167"/>
      <c r="K52" s="166"/>
      <c r="L52" s="166"/>
      <c r="M52" s="166"/>
      <c r="N52" s="166"/>
    </row>
    <row r="53" spans="1:14" s="158" customFormat="1" ht="16.5" customHeight="1">
      <c r="A53" s="3" t="str">
        <f>ORÇAMENTO!A22</f>
        <v>Ipixuna do Pará (PA),</v>
      </c>
      <c r="B53" s="193"/>
      <c r="C53" s="157">
        <f>ORÇAMENTO!D22</f>
        <v>44783</v>
      </c>
      <c r="D53" s="3"/>
      <c r="E53" s="3"/>
      <c r="F53" s="3"/>
      <c r="G53" s="3"/>
      <c r="J53" s="167"/>
      <c r="K53" s="166"/>
      <c r="L53" s="166"/>
      <c r="M53" s="166"/>
      <c r="N53" s="166"/>
    </row>
    <row r="54" spans="1:14" s="158" customFormat="1" ht="14.25" customHeight="1">
      <c r="A54" s="3"/>
      <c r="B54" s="193"/>
      <c r="C54" s="3"/>
      <c r="D54" s="3"/>
      <c r="E54" s="3"/>
      <c r="F54" s="3"/>
      <c r="G54" s="3"/>
      <c r="J54" s="167"/>
      <c r="K54" s="166"/>
      <c r="L54" s="166"/>
      <c r="M54" s="166"/>
      <c r="N54" s="166"/>
    </row>
    <row r="55" spans="1:14" s="158" customFormat="1" ht="14.25" customHeight="1">
      <c r="A55" s="3"/>
      <c r="B55" s="193"/>
      <c r="C55" s="3"/>
      <c r="D55" s="3"/>
      <c r="E55" s="3"/>
      <c r="F55" s="3"/>
      <c r="G55" s="3"/>
      <c r="J55" s="167"/>
      <c r="K55" s="166"/>
      <c r="L55" s="166"/>
      <c r="M55" s="166"/>
      <c r="N55" s="166"/>
    </row>
    <row r="56" spans="1:14" s="158" customFormat="1" ht="14.25" customHeight="1">
      <c r="A56" s="3"/>
      <c r="B56" s="193"/>
      <c r="C56" s="169"/>
      <c r="D56" s="3"/>
      <c r="E56" s="3"/>
      <c r="F56" s="3"/>
      <c r="G56" s="169"/>
      <c r="J56" s="166"/>
      <c r="K56" s="166"/>
      <c r="L56" s="166"/>
      <c r="M56" s="166"/>
      <c r="N56" s="166"/>
    </row>
    <row r="57" spans="1:9" s="158" customFormat="1" ht="13.5">
      <c r="A57" s="3" t="str">
        <f>ORÇAMENTO!A29</f>
        <v>TÉCNICO RESPONSÁVEL:</v>
      </c>
      <c r="B57" s="193"/>
      <c r="C57" s="3"/>
      <c r="D57" s="3"/>
      <c r="E57" s="3"/>
      <c r="F57" s="3"/>
      <c r="G57" s="3"/>
      <c r="I57" s="166"/>
    </row>
    <row r="58" spans="1:2" s="158" customFormat="1" ht="12.75">
      <c r="A58" s="3" t="str">
        <f>ORÇAMENTO!A30</f>
        <v>ENG. CIVIL ALICE MORAIS</v>
      </c>
      <c r="B58" s="190"/>
    </row>
    <row r="59" spans="1:2" s="158" customFormat="1" ht="12.75">
      <c r="A59" s="3" t="str">
        <f>ORÇAMENTO!A31</f>
        <v>CREA 151.686.693-2</v>
      </c>
      <c r="B59" s="190"/>
    </row>
    <row r="61" spans="4:7" ht="13.5">
      <c r="D61" s="54"/>
      <c r="E61" s="54"/>
      <c r="F61" s="15"/>
      <c r="G61" s="55"/>
    </row>
    <row r="62" spans="1:7" ht="14.25">
      <c r="A62" s="176"/>
      <c r="B62" s="195"/>
      <c r="C62" s="177"/>
      <c r="D62" s="178"/>
      <c r="E62" s="179"/>
      <c r="F62" s="15"/>
      <c r="G62" s="55"/>
    </row>
    <row r="63" spans="4:7" ht="13.5">
      <c r="D63" s="54"/>
      <c r="E63" s="54"/>
      <c r="F63" s="54"/>
      <c r="G63" s="55"/>
    </row>
    <row r="64" spans="4:6" ht="12.75">
      <c r="D64" s="54"/>
      <c r="E64" s="54"/>
      <c r="F64" s="54"/>
    </row>
    <row r="65" spans="4:7" ht="13.5">
      <c r="D65" s="54"/>
      <c r="E65" s="54"/>
      <c r="F65" s="54"/>
      <c r="G65" s="55"/>
    </row>
    <row r="66" spans="4:7" ht="12.75">
      <c r="D66" s="54"/>
      <c r="E66" s="54"/>
      <c r="F66" s="54"/>
      <c r="G66" s="54"/>
    </row>
  </sheetData>
  <sheetProtection/>
  <mergeCells count="49">
    <mergeCell ref="D8:H8"/>
    <mergeCell ref="A9:C9"/>
    <mergeCell ref="D9:H9"/>
    <mergeCell ref="A10:C10"/>
    <mergeCell ref="D10:H10"/>
    <mergeCell ref="A26:B26"/>
    <mergeCell ref="A25:B25"/>
    <mergeCell ref="C14:C15"/>
    <mergeCell ref="D14:E14"/>
    <mergeCell ref="F14:G14"/>
    <mergeCell ref="A8:C8"/>
    <mergeCell ref="A21:B21"/>
    <mergeCell ref="A22:B22"/>
    <mergeCell ref="A23:B23"/>
    <mergeCell ref="A24:B24"/>
    <mergeCell ref="A11:C11"/>
    <mergeCell ref="A43:B43"/>
    <mergeCell ref="A31:B31"/>
    <mergeCell ref="A32:B32"/>
    <mergeCell ref="A28:B28"/>
    <mergeCell ref="A42:B42"/>
    <mergeCell ref="A16:B16"/>
    <mergeCell ref="A39:B39"/>
    <mergeCell ref="A27:B27"/>
    <mergeCell ref="A37:B37"/>
    <mergeCell ref="A38:B38"/>
    <mergeCell ref="A7:F7"/>
    <mergeCell ref="A13:G13"/>
    <mergeCell ref="A14:B15"/>
    <mergeCell ref="A29:B29"/>
    <mergeCell ref="A30:B30"/>
    <mergeCell ref="E52:H52"/>
    <mergeCell ref="A17:B17"/>
    <mergeCell ref="A18:B18"/>
    <mergeCell ref="A19:B19"/>
    <mergeCell ref="A20:B20"/>
    <mergeCell ref="A40:B40"/>
    <mergeCell ref="A41:B41"/>
    <mergeCell ref="A33:B33"/>
    <mergeCell ref="A34:B34"/>
    <mergeCell ref="A35:B35"/>
    <mergeCell ref="A36:B36"/>
    <mergeCell ref="A50:C50"/>
    <mergeCell ref="A44:B44"/>
    <mergeCell ref="A45:B45"/>
    <mergeCell ref="A49:B49"/>
    <mergeCell ref="A47:B47"/>
    <mergeCell ref="A48:B48"/>
    <mergeCell ref="A46:B46"/>
  </mergeCells>
  <printOptions horizontalCentered="1"/>
  <pageMargins left="0.2755905511811024" right="0.2362204724409449" top="0.5511811023622047" bottom="0.5905511811023623" header="0.35433070866141736" footer="0.5118110236220472"/>
  <pageSetup fitToHeight="1" fitToWidth="1" horizontalDpi="300" verticalDpi="3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Usuário do Windows</cp:lastModifiedBy>
  <cp:lastPrinted>2022-08-10T12:46:24Z</cp:lastPrinted>
  <dcterms:created xsi:type="dcterms:W3CDTF">1997-01-10T22:22:50Z</dcterms:created>
  <dcterms:modified xsi:type="dcterms:W3CDTF">2022-08-10T15:55:35Z</dcterms:modified>
  <cp:category/>
  <cp:version/>
  <cp:contentType/>
  <cp:contentStatus/>
</cp:coreProperties>
</file>