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10" windowWidth="13740" windowHeight="8445" activeTab="4"/>
  </bookViews>
  <sheets>
    <sheet name="ORÇAMENTO" sheetId="1" r:id="rId1"/>
    <sheet name="CRONOGRAMA" sheetId="2" r:id="rId2"/>
    <sheet name="BDI" sheetId="3" r:id="rId3"/>
    <sheet name="ENCARGOS" sheetId="4" r:id="rId4"/>
    <sheet name="COMPOSIÇÕES" sheetId="5" r:id="rId5"/>
  </sheets>
  <externalReferences>
    <externalReference r:id="rId8"/>
  </externalReferences>
  <definedNames>
    <definedName name="_xlnm.Print_Area" localSheetId="2">'BDI'!$A$1:$J$38</definedName>
    <definedName name="_xlnm.Print_Area" localSheetId="4">'COMPOSIÇÕES'!$A$1:$G$853</definedName>
    <definedName name="_xlnm.Print_Area" localSheetId="1">'CRONOGRAMA'!$A$1:$J$61</definedName>
    <definedName name="_xlnm.Print_Area" localSheetId="3">'ENCARGOS'!$A$1:$H$46</definedName>
    <definedName name="_xlnm.Print_Area" localSheetId="0">'ORÇAMENTO'!$A$1:$I$97</definedName>
    <definedName name="_xlnm.Print_Titles" localSheetId="4">'COMPOSIÇÕES'!$1:$7</definedName>
    <definedName name="_xlnm.Print_Titles" localSheetId="0">'ORÇAMENTO'!$1:$10</definedName>
  </definedNames>
  <calcPr fullCalcOnLoad="1"/>
</workbook>
</file>

<file path=xl/sharedStrings.xml><?xml version="1.0" encoding="utf-8"?>
<sst xmlns="http://schemas.openxmlformats.org/spreadsheetml/2006/main" count="2767" uniqueCount="747">
  <si>
    <t>ITEM</t>
  </si>
  <si>
    <t>1.1</t>
  </si>
  <si>
    <t>2.1</t>
  </si>
  <si>
    <t>3.1</t>
  </si>
  <si>
    <t>5.1</t>
  </si>
  <si>
    <t>Valor por item -R$</t>
  </si>
  <si>
    <t xml:space="preserve">TOTAL GERAL </t>
  </si>
  <si>
    <t>VALOR GLOBAL</t>
  </si>
  <si>
    <t>SERVIÇOS</t>
  </si>
  <si>
    <t>6.1</t>
  </si>
  <si>
    <t>Total</t>
  </si>
  <si>
    <t>CRONOGRAMA FÍSICO-FINANCEIRO</t>
  </si>
  <si>
    <t>% s/ obra</t>
  </si>
  <si>
    <t>3.2</t>
  </si>
  <si>
    <t>3.3</t>
  </si>
  <si>
    <t>6.3</t>
  </si>
  <si>
    <t>5.2</t>
  </si>
  <si>
    <t>5.3</t>
  </si>
  <si>
    <t>6.2</t>
  </si>
  <si>
    <t>6.4</t>
  </si>
  <si>
    <t>1º ETAPA</t>
  </si>
  <si>
    <t>2º ETAPA</t>
  </si>
  <si>
    <t>3º ETAPA</t>
  </si>
  <si>
    <t>P. TOTAL</t>
  </si>
  <si>
    <t>Item</t>
  </si>
  <si>
    <t>Unid.</t>
  </si>
  <si>
    <t>Quant.</t>
  </si>
  <si>
    <t>P. Unit. s/ BDI</t>
  </si>
  <si>
    <t>BDI</t>
  </si>
  <si>
    <t>Cod.</t>
  </si>
  <si>
    <t>DISCRIMINAÇÃO</t>
  </si>
  <si>
    <t>5.4</t>
  </si>
  <si>
    <t>Ref.</t>
  </si>
  <si>
    <t>TIPO DE OBRA:</t>
  </si>
  <si>
    <t>PLANILHA DE BONIFICAÇÃO E DESPESAS INDIRETAS - BDI - SERVIÇO</t>
  </si>
  <si>
    <t>ITENS</t>
  </si>
  <si>
    <t>DESCRIÇÃO</t>
  </si>
  <si>
    <t>%</t>
  </si>
  <si>
    <t>1.0</t>
  </si>
  <si>
    <t>ADMINISTRAÇÃO CENTRAL</t>
  </si>
  <si>
    <t>CUSTO TOTAL DO SERVIÇO (R$)</t>
  </si>
  <si>
    <t>VALOR (R$)</t>
  </si>
  <si>
    <t>TAXA (%)</t>
  </si>
  <si>
    <t>OBS.</t>
  </si>
  <si>
    <t>SITUAÇÃO DO INTERVALO</t>
  </si>
  <si>
    <t>PARCELAS DO BDI (%)</t>
  </si>
  <si>
    <t>SIGLA</t>
  </si>
  <si>
    <t>TEXTO</t>
  </si>
  <si>
    <t>2.0</t>
  </si>
  <si>
    <t>DESPESAS FINANCEIRAS</t>
  </si>
  <si>
    <t>1º QUARTIL</t>
  </si>
  <si>
    <t>MÉDIO</t>
  </si>
  <si>
    <t>3º QUARTIL</t>
  </si>
  <si>
    <t>AC - ADMINISTRAÇÃO CENTRAL</t>
  </si>
  <si>
    <t>AC</t>
  </si>
  <si>
    <t>3.0</t>
  </si>
  <si>
    <t>SEGURO / GARANTIA / RISCO</t>
  </si>
  <si>
    <t>SG - SEGUROS e GARANTIA</t>
  </si>
  <si>
    <t>SG</t>
  </si>
  <si>
    <t>SEGUROS e GARANTIA</t>
  </si>
  <si>
    <t>Seguro de Risco de Engenharia</t>
  </si>
  <si>
    <t>R - RISCOS</t>
  </si>
  <si>
    <t>R</t>
  </si>
  <si>
    <t>RISCOS</t>
  </si>
  <si>
    <t>Garantia</t>
  </si>
  <si>
    <t>DF - DESPESAS FINANCEIRAS</t>
  </si>
  <si>
    <t>DF</t>
  </si>
  <si>
    <t>Riscos</t>
  </si>
  <si>
    <t>L - LUCRO BRUTO</t>
  </si>
  <si>
    <t>L</t>
  </si>
  <si>
    <t>LUCRO BRUTO</t>
  </si>
  <si>
    <t>I - IMPOSTOS</t>
  </si>
  <si>
    <t>I</t>
  </si>
  <si>
    <t>IMPOSTOS</t>
  </si>
  <si>
    <t>4.0</t>
  </si>
  <si>
    <t>PIS</t>
  </si>
  <si>
    <t>COFINS</t>
  </si>
  <si>
    <t>5.0</t>
  </si>
  <si>
    <t>TRIBUTOS</t>
  </si>
  <si>
    <t>ISS (CONFORME LEGISLAÇÃO MUNICIPAL)</t>
  </si>
  <si>
    <t>ISS (Observar Percentual da Localidade)</t>
  </si>
  <si>
    <t>CONTRIB.PREV. SOBRE REC. BRUTA - CPRB</t>
  </si>
  <si>
    <t>Equação Acordão TCU 2.622/2013 - Plenário</t>
  </si>
  <si>
    <t>TOTAL DO BDI (R$)</t>
  </si>
  <si>
    <t>Parâmetros do Acórdão 2.622/2013 - Plenário</t>
  </si>
  <si>
    <t>PREÇO DE VENDA (R$)</t>
  </si>
  <si>
    <t>SEM CPRB</t>
  </si>
  <si>
    <t>CPRB</t>
  </si>
  <si>
    <t>BDI (%)</t>
  </si>
  <si>
    <t>COM CPRB</t>
  </si>
  <si>
    <t>BDI =</t>
  </si>
  <si>
    <t>(((1+(AC+S+R+G))*(1+DF)*(1+L))/((1-I) )-1)*100</t>
  </si>
  <si>
    <t>NOTAS:</t>
  </si>
  <si>
    <t>1 - A fórmula proposta para cálculo do BDI, acima utilizada, segue o Acórdão 2.622/2013-TCU/Plenário;</t>
  </si>
  <si>
    <t>2 - Alíquota do ISS é determinada pela "Relação de Serviços" do município onde se prestará o serviço conforme art. 1° e art. 8° da Lei Complementar n° 116/2001;</t>
  </si>
  <si>
    <t>3 - Alíquota máxima de PIS é de até 1,65% conforme Lei n°10.637/02 em consonância ao Regime de Tributação da Empresa;</t>
  </si>
  <si>
    <t>4 - Alíquota máxima de COFINS é de 3% conforme Lei n° 10.833/03;</t>
  </si>
  <si>
    <t>5 - Os percentuais dos itens que compõem analiticamente o BDI são os limites referenciais máximos admitidos pela Administração.</t>
  </si>
  <si>
    <t>6 - A alíquota do ISS aplicada no município  é de 5%, porém,  a título de materiais incorporados à obra em regime presumido de dedução. Desta forma, no BDI foi aplicado o percentual de 2,5%.</t>
  </si>
  <si>
    <t>SINAPI</t>
  </si>
  <si>
    <t>CPU</t>
  </si>
  <si>
    <t>OBJETO:</t>
  </si>
  <si>
    <t>CÓDIGO</t>
  </si>
  <si>
    <t>H</t>
  </si>
  <si>
    <t>COMPOSIÇÕES DE PREÇO UNITÁRIO</t>
  </si>
  <si>
    <t>ENCARGOS SOCIAIS SOBRE A MÃO DE OBRA</t>
  </si>
  <si>
    <t>COM DESONERAÇÃO</t>
  </si>
  <si>
    <t>SEM DESONERAÇÃO</t>
  </si>
  <si>
    <t>HORISTA (%)</t>
  </si>
  <si>
    <t>MENSALISTA (%)</t>
  </si>
  <si>
    <t>GRUPO A</t>
  </si>
  <si>
    <t>A1</t>
  </si>
  <si>
    <t>INSS</t>
  </si>
  <si>
    <t>A2</t>
  </si>
  <si>
    <t xml:space="preserve">SESI </t>
  </si>
  <si>
    <t>A3</t>
  </si>
  <si>
    <t>SENAI</t>
  </si>
  <si>
    <t>A4</t>
  </si>
  <si>
    <t xml:space="preserve">INCRA </t>
  </si>
  <si>
    <t>A5</t>
  </si>
  <si>
    <t xml:space="preserve">SEBRAE </t>
  </si>
  <si>
    <t>A6</t>
  </si>
  <si>
    <t xml:space="preserve">Salário Educação </t>
  </si>
  <si>
    <t>A7</t>
  </si>
  <si>
    <t>Seguro Contra Acidentes de Trabalho</t>
  </si>
  <si>
    <t>A8</t>
  </si>
  <si>
    <t xml:space="preserve">FGTS </t>
  </si>
  <si>
    <t>A9</t>
  </si>
  <si>
    <t xml:space="preserve">SECONCI </t>
  </si>
  <si>
    <t>A</t>
  </si>
  <si>
    <t>GRUPO B</t>
  </si>
  <si>
    <t>B1</t>
  </si>
  <si>
    <t xml:space="preserve">Repouso Semanal Remunerado </t>
  </si>
  <si>
    <t>Não incide</t>
  </si>
  <si>
    <t>B2</t>
  </si>
  <si>
    <t>Feriados</t>
  </si>
  <si>
    <t>B3</t>
  </si>
  <si>
    <t xml:space="preserve">Auxílio - Enfermidade </t>
  </si>
  <si>
    <t>B4</t>
  </si>
  <si>
    <t xml:space="preserve">13º Salário </t>
  </si>
  <si>
    <t>B5</t>
  </si>
  <si>
    <t>Licença Paternidade</t>
  </si>
  <si>
    <t>B6</t>
  </si>
  <si>
    <t>Faltas Justificadas</t>
  </si>
  <si>
    <t>B7</t>
  </si>
  <si>
    <t xml:space="preserve">Dias de Chuvas </t>
  </si>
  <si>
    <t>B8</t>
  </si>
  <si>
    <t>Auxílio Acidente de Trabalho</t>
  </si>
  <si>
    <t>B9</t>
  </si>
  <si>
    <t xml:space="preserve">Férias Gozadas </t>
  </si>
  <si>
    <t>B10</t>
  </si>
  <si>
    <t>Salário Maternidade</t>
  </si>
  <si>
    <t>B</t>
  </si>
  <si>
    <t>GRUPO C</t>
  </si>
  <si>
    <t>C1</t>
  </si>
  <si>
    <t>Aviso Prévio Indenizado</t>
  </si>
  <si>
    <t>C2</t>
  </si>
  <si>
    <t>Aviso Prévio Trabalhado</t>
  </si>
  <si>
    <t>C3</t>
  </si>
  <si>
    <t>Férias Indenizadas</t>
  </si>
  <si>
    <t>C4</t>
  </si>
  <si>
    <t>Depósito Rescisão Sem Justa Causa</t>
  </si>
  <si>
    <t>C5</t>
  </si>
  <si>
    <t xml:space="preserve">Indenização Adicional </t>
  </si>
  <si>
    <t>C</t>
  </si>
  <si>
    <t>GRUPO D</t>
  </si>
  <si>
    <t>D1</t>
  </si>
  <si>
    <t xml:space="preserve">Reincidência de Grupo A sobre Grupo B </t>
  </si>
  <si>
    <t>D2</t>
  </si>
  <si>
    <t>Reincidência de Grupo A sobre Aviso Prévio Trabalhado e Reincidência do FGTS sobre Aviso Prévio Indenizado</t>
  </si>
  <si>
    <t>D</t>
  </si>
  <si>
    <t>TOTAL (A+B+C+D)</t>
  </si>
  <si>
    <t>P. Unit. c/ BDI</t>
  </si>
  <si>
    <t>PLANTIO DE GRAMA EM PLACAS. AF_05/2018</t>
  </si>
  <si>
    <t>4.1</t>
  </si>
  <si>
    <t>PLACA DE OBRA EM CHAPA DE ACO GALVANIZADO - FORNECIMENTO E INSTALAÇÃO.</t>
  </si>
  <si>
    <t xml:space="preserve">M2    </t>
  </si>
  <si>
    <t>M2</t>
  </si>
  <si>
    <t>M</t>
  </si>
  <si>
    <t>UN</t>
  </si>
  <si>
    <t>M3</t>
  </si>
  <si>
    <t>BDI( % ):</t>
  </si>
  <si>
    <t>ADMINISTRAÇÃO LOCAL</t>
  </si>
  <si>
    <t>01</t>
  </si>
  <si>
    <t>ADMINISTRAÇÃO LOCAL DE OBRA</t>
  </si>
  <si>
    <t>SERVIÇOS PRELIMINARES</t>
  </si>
  <si>
    <t>02</t>
  </si>
  <si>
    <t>03</t>
  </si>
  <si>
    <t>04</t>
  </si>
  <si>
    <t>05</t>
  </si>
  <si>
    <t>06</t>
  </si>
  <si>
    <t>3.4</t>
  </si>
  <si>
    <t>3.5</t>
  </si>
  <si>
    <t>3.6</t>
  </si>
  <si>
    <t>07</t>
  </si>
  <si>
    <t>09</t>
  </si>
  <si>
    <t>ENCARREGADO GERAL COM ENCARGOS COMPLEMENTARES</t>
  </si>
  <si>
    <t>SINAPI-I</t>
  </si>
  <si>
    <t>4417</t>
  </si>
  <si>
    <t>SARRAFO NAO APARELHADO *2,5 X 7* CM, EM MACARANDUBA, ANGELIM OU EQUIVALENTE DA REGIAO -  BRUTA</t>
  </si>
  <si>
    <t>4491</t>
  </si>
  <si>
    <t>PONTALETE *7,5 X 7,5* CM EM PINUS, MISTA OU EQUIVALENTE DA REGIAO - BRUTA</t>
  </si>
  <si>
    <t>4813</t>
  </si>
  <si>
    <t>PLACA DE OBRA (PARA CONSTRUCAO CIVIL) EM CHAPA GALVANIZADA *N. 22*, ADESIVADA, DE *2,4 X 1,2* M (SEM POSTES PARA FIXACAO)</t>
  </si>
  <si>
    <t>5075</t>
  </si>
  <si>
    <t>PREGO DE ACO POLIDO COM CABECA 18 X 30 (2 3/4 X 10)</t>
  </si>
  <si>
    <t>88262</t>
  </si>
  <si>
    <t>CARPINTEIRO DE FORMAS COM ENCARGOS COMPLEMENTARES</t>
  </si>
  <si>
    <t>88316</t>
  </si>
  <si>
    <t>SERVENTE COM ENCARGOS COMPLEMENTARES</t>
  </si>
  <si>
    <t>94962</t>
  </si>
  <si>
    <t>CONCRETO MAGRO PARA LASTRO, TRAÇO 1:4,5:4,5 (EM MASSA SECA DE CIMENTO/ AREIA MÉDIA/ BRITA 1) - PREPARO MECÂNICO COM BETONEIRA 400 L. AF_05/2021</t>
  </si>
  <si>
    <t>REFERÊNCIA: SINAPI FEVEREIRO/2022 - NÃO DESONERADO / SEDOP 02/2022 / SICRO OUTUBRO/2021</t>
  </si>
  <si>
    <t>CHP</t>
  </si>
  <si>
    <t xml:space="preserve">UN    </t>
  </si>
  <si>
    <t>MOVIMENTO DE TERRA</t>
  </si>
  <si>
    <t>93358</t>
  </si>
  <si>
    <t>ESCAVAÇÃO MANUAL DE VALA COM PROFUNDIDADE MENOR OU IGUAL A 1,30 M. AF_02/2021</t>
  </si>
  <si>
    <t>94319</t>
  </si>
  <si>
    <t>ATERRO MANUAL DE VALAS COM SOLO ARGILO-ARENOSO E COMPACTAÇÃO MECANIZADA. AF_05/2016</t>
  </si>
  <si>
    <t>SEDOP</t>
  </si>
  <si>
    <t>16</t>
  </si>
  <si>
    <t>101965</t>
  </si>
  <si>
    <t>PEITORIL LINEAR EM GRANITO OU MÁRMORE, L = 15CM, COMPRIMENTO DE ATÉ 2M, ASSENTADO COM ARGAMASSA 1:6 COM ADITIVO. AF_11/2020</t>
  </si>
  <si>
    <t>7.1</t>
  </si>
  <si>
    <t>7.2</t>
  </si>
  <si>
    <t>7.3</t>
  </si>
  <si>
    <t>7.4</t>
  </si>
  <si>
    <t>REVESTIMENTOS</t>
  </si>
  <si>
    <t>87530</t>
  </si>
  <si>
    <t>MASSA ÚNICA, PARA RECEBIMENTO DE PINTURA, EM ARGAMASSA TRAÇO 1:2:8, PREPARO MANUAL, APLICADA MANUALMENTE EM FACES INTERNAS DE PAREDES, ESPESSURA DE 20MM, COM EXECUÇÃO DE TALISCAS. AF_06/2014</t>
  </si>
  <si>
    <t>PISOS</t>
  </si>
  <si>
    <t>PINTURAS</t>
  </si>
  <si>
    <t>96132</t>
  </si>
  <si>
    <t>APLICAÇÃO MANUAL DE MASSA ACRÍLICA EM PANOS DE FACHADA SEM PRESENÇA DE VÃOS, DE EDIFÍCIOS DE MÚLTIPLOS PAVIMENTOS, DUAS DEMÃOS. AF_05/2017</t>
  </si>
  <si>
    <t>88485</t>
  </si>
  <si>
    <t>APLICAÇÃO DE FUNDO SELADOR ACRÍLICO EM PAREDES, UMA DEMÃO. AF_06/2014</t>
  </si>
  <si>
    <t>88489</t>
  </si>
  <si>
    <t>APLICAÇÃO MANUAL DE PINTURA COM TINTA LÁTEX ACRÍLICA EM PAREDES, DUAS DEMÃOS. AF_06/2014</t>
  </si>
  <si>
    <t>13</t>
  </si>
  <si>
    <t>TEXTURIAÇÃO 3D SEMELHANTE A MADEIRA/GRANITO/MÁRMORE/ROCHA BRUTA COM TINTA ACRÍLICA, FUNDO SELADOR E MASSA ACRÍLICA EM PAREDES, DUAS DEMÃOS.</t>
  </si>
  <si>
    <t>100719</t>
  </si>
  <si>
    <t>PINTURA COM TINTA ALQUÍDICA DE FUNDO (TIPO ZARCÃO) PULVERIZADA SOBRE PERFIL METÁLICO EXECUTADO EM FÁBRICA (POR DEMÃO). AF_01/2020_P</t>
  </si>
  <si>
    <t>INSTALAÇÕES ELÉTRICAS</t>
  </si>
  <si>
    <t>PT</t>
  </si>
  <si>
    <t>Ponto de força (tubul., fiaçao e disjuntor) acima de 200W</t>
  </si>
  <si>
    <t>101660</t>
  </si>
  <si>
    <t>LUMINÁRIA DE LED PARA ILUMINAÇÃO PÚBLICA, DE 240 W ATÉ 350 W - FORNECIMENTO E INSTALAÇÃO. AF_08/2020</t>
  </si>
  <si>
    <t>101632</t>
  </si>
  <si>
    <t>RELÉ FOTOELÉTRICO PARA COMANDO DE ILUMINAÇÃO EXTERNA 1000 W - FORNECIMENTO E INSTALAÇÃO. AF_08/2020</t>
  </si>
  <si>
    <t>17</t>
  </si>
  <si>
    <t>POSTE DECORATIVO PARA JARDIM EM AÇO TUBULAR, H = *2,5* M, COM LUMINÁRIA LED TIPO GLOBO - FORNECIMENTO E INSTALAÇÃO. AF_11/2019</t>
  </si>
  <si>
    <t>10</t>
  </si>
  <si>
    <t>11</t>
  </si>
  <si>
    <t>12</t>
  </si>
  <si>
    <t>14</t>
  </si>
  <si>
    <t>15</t>
  </si>
  <si>
    <t xml:space="preserve">LUMINARIA LED REFLETOR RETANGULAR BIVOLT, LUZ BRANCA, 30 W - FORNECIMENTO E INSTALAÇÃO. </t>
  </si>
  <si>
    <t>101560</t>
  </si>
  <si>
    <t>CABO DE COBRE FLEXÍVEL ISOLADO, 10 MM², 0,6/1,0 KV, PARA REDE AÉREA DE DISTRIBUIÇÃO DE ENERGIA ELÉTRICA DE BAIXA TENSÃO - FORNECIMENTO E INSTALAÇÃO. AF_07/2020</t>
  </si>
  <si>
    <t>91870</t>
  </si>
  <si>
    <t>ELETRODUTO RÍGIDO ROSCÁVEL, PVC, DN 20 MM (1/2"), PARA CIRCUITOS TERMINAIS, INSTALADO EM PAREDE - FORNECIMENTO E INSTALAÇÃO. AF_12/2015</t>
  </si>
  <si>
    <t>URBANIZAÇÃO / PAISAGISMO</t>
  </si>
  <si>
    <t>98516</t>
  </si>
  <si>
    <t>PLANTIO DE PALMEIRA COM ALTURA DE MUDA MENOR OU IGUAL A 2,00 M. AF_05/2018</t>
  </si>
  <si>
    <t>98510</t>
  </si>
  <si>
    <t>PLANTIO DE ÁRVORE ORNAMENTAL COM ALTURA DE MUDA MENOR OU IGUAL A 2,00 M. AF_05/2018</t>
  </si>
  <si>
    <t>98504</t>
  </si>
  <si>
    <t>SERVIÇOS FINAIS</t>
  </si>
  <si>
    <t>LIMPEZA GERAL E ENTREGA DA OBRA</t>
  </si>
  <si>
    <t>8.1</t>
  </si>
  <si>
    <t>8.2</t>
  </si>
  <si>
    <t>9.1</t>
  </si>
  <si>
    <t>10.1</t>
  </si>
  <si>
    <t>10.2</t>
  </si>
  <si>
    <t>10.3</t>
  </si>
  <si>
    <t>10.4</t>
  </si>
  <si>
    <t>10.5</t>
  </si>
  <si>
    <t>11.1</t>
  </si>
  <si>
    <t>11.2</t>
  </si>
  <si>
    <t>11.3</t>
  </si>
  <si>
    <t>11.4</t>
  </si>
  <si>
    <t>11.5</t>
  </si>
  <si>
    <t>11.6</t>
  </si>
  <si>
    <t>11.7</t>
  </si>
  <si>
    <t>11.8</t>
  </si>
  <si>
    <t>11.9</t>
  </si>
  <si>
    <t>11.10</t>
  </si>
  <si>
    <t>12.1</t>
  </si>
  <si>
    <t>12.2</t>
  </si>
  <si>
    <t>12.3</t>
  </si>
  <si>
    <t>13.1</t>
  </si>
  <si>
    <t>14.1</t>
  </si>
  <si>
    <t>PERCENTUAL</t>
  </si>
  <si>
    <t>PERCENTUAL ACUMULADO</t>
  </si>
  <si>
    <t>UND.:</t>
  </si>
  <si>
    <t>FONTE</t>
  </si>
  <si>
    <t>Und.</t>
  </si>
  <si>
    <t>Valor</t>
  </si>
  <si>
    <t>ELETRICISTA COM ENCARGOS COMPLEMENTARES</t>
  </si>
  <si>
    <t>AUXILIAR DE ELETRICISTA COM ENCARGOS COMPLEMENTARES</t>
  </si>
  <si>
    <t>90777</t>
  </si>
  <si>
    <t>ENGENHEIRO CIVIL DE OBRA JUNIOR COM ENCARGOS COMPLEMENTARES</t>
  </si>
  <si>
    <t>90776</t>
  </si>
  <si>
    <t xml:space="preserve">M     </t>
  </si>
  <si>
    <t xml:space="preserve">KG    </t>
  </si>
  <si>
    <t>100741</t>
  </si>
  <si>
    <t>PINTURA COM TINTA ALQUÍDICA DE ACABAMENTO (ESMALTE SINTÉTICO ACETINADO) PULVERIZADA SOBRE SUPERFÍCIES METÁLICAS (EXCETO PERFIL) EXECUTADO EM OBRA (POR DEMÃO). AF_01/2020_P</t>
  </si>
  <si>
    <t>88415</t>
  </si>
  <si>
    <t>APLICAÇÃO MANUAL DE FUNDO SELADOR ACRÍLICO EM PAREDES EXTERNAS DE CASAS. AF_06/2014</t>
  </si>
  <si>
    <t>88310</t>
  </si>
  <si>
    <t>PINTOR COM ENCARGOS COMPLEMENTARES</t>
  </si>
  <si>
    <t>7353</t>
  </si>
  <si>
    <t>RESINA ACRILICA PREMIUM BASE AGUA - COR BRANCA</t>
  </si>
  <si>
    <t xml:space="preserve">L     </t>
  </si>
  <si>
    <t>102205</t>
  </si>
  <si>
    <t>PINTURA VERNIZ (INCOLOR) POLIURETÂNICO (RESINA ALQUÍDICA MODIFICADA) EM MADEIRA, 1 DEMÃO. AF_01/2021</t>
  </si>
  <si>
    <t>100619</t>
  </si>
  <si>
    <t>POSTE DECORATIVO PARA JARDIM EM AÇO TUBULAR, H = *2,5* M, SEM LUMINÁRIA - FORNECIMENTO E INSTALAÇÃO. AF_11/2019</t>
  </si>
  <si>
    <t>43265</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</si>
  <si>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</si>
  <si>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88247</t>
  </si>
  <si>
    <t>88264</t>
  </si>
  <si>
    <t>20111</t>
  </si>
  <si>
    <t>FITA ISOLANTE ADESIVA ANTICHAMA, USO ATE 750 V, EM ROLO DE 19 MM X 20 M</t>
  </si>
  <si>
    <t>39390</t>
  </si>
  <si>
    <t>LUMINARIA LED REFLETOR RETANGULAR BIVOLT, LUZ BRANCA, 30 W</t>
  </si>
  <si>
    <t>3</t>
  </si>
  <si>
    <t>ACIDO CLORIDRICO / ACIDO MURIATICO, DILUICAO 10% A 12% PARA USO EM LIMPEZA</t>
  </si>
  <si>
    <t>94990</t>
  </si>
  <si>
    <t>EXECUÇÃO DE PASSEIO (CALÇADA) OU PISO DE CONCRETO COM CONCRETO MOLDADO IN LOCO, FEITO EM OBRA, ACABAMENTO CONVENCIONAL, NÃO ARMADO. AF_07/2016</t>
  </si>
  <si>
    <t>REFORMA E REVITALIZAÇÃO DA PRAÇA DA FAMÍLIA</t>
  </si>
  <si>
    <t>3.7</t>
  </si>
  <si>
    <t>3.8</t>
  </si>
  <si>
    <t>3.9</t>
  </si>
  <si>
    <t>3.10</t>
  </si>
  <si>
    <t>3.11</t>
  </si>
  <si>
    <t>DEMOLIÇÕES E RETIRADAS</t>
  </si>
  <si>
    <t>99833</t>
  </si>
  <si>
    <t>LAVADORA DE ALTA PRESSAO (LAVA-JATO) PARA AGUA FRIA, PRESSAO DE OPERACAO ENTRE 1400 E 1900 LIB/POL2, VAZAO MAXIMA ENTRE 400 E 700 L/H - CHP DIURNO. AF_04/2019</t>
  </si>
  <si>
    <t>RETIRADA DE PISO CIMENTADO</t>
  </si>
  <si>
    <t>100331</t>
  </si>
  <si>
    <t>RETIRADA E RECOLOCAÇÃO DE  TELHA CERÂMICA CAPA-CANAL, COM MAIS DE DUAS ÁGUAS, INCLUSO IÇAMENTO. AF_07/2019</t>
  </si>
  <si>
    <t>100395</t>
  </si>
  <si>
    <t>RETIRADA E RECOLOCAÇÃO DE CAIBRO EM TELHADOS DE MAIS DE 2 ÁGUAS COM TELHA CERÂMICA CAPA-CANAL, INCLUSO TRANSPORTE VERTICAL. AF_07/2019</t>
  </si>
  <si>
    <t>100394</t>
  </si>
  <si>
    <t>RETIRADA E RECOLOCAÇÃO DE RIPA EM TELHADOS DE MAIS DE 2 ÁGUAS COM TELHA CERÂMICA CAPA-CANAL, INCLUSO TRANSPORTE VERTICAL. AF_07/2019</t>
  </si>
  <si>
    <t>97640</t>
  </si>
  <si>
    <t>REMOÇÃO DE FORROS DE DRYWALL, PVC E FIBROMINERAL, DE FORMA MANUAL, SEM REAPROVEITAMENTO. AF_12/2017</t>
  </si>
  <si>
    <t>97639</t>
  </si>
  <si>
    <t>REMOÇÃO DE PLACAS E PILARETES DE CONCRETO, DE FORMA MANUAL, SEM REAPROVEITAMENTO. AF_12/2017</t>
  </si>
  <si>
    <t>97661</t>
  </si>
  <si>
    <t>REMOÇÃO DE CABOS ELÉTRICOS, DE FORMA MANUAL, SEM REAPROVEITAMENTO. AF_12/2017</t>
  </si>
  <si>
    <t>97660</t>
  </si>
  <si>
    <t>REMOÇÃO DE INTERRUPTORES/TOMADAS ELÉTRICAS, DE FORMA MANUAL, SEM REAPROVEITAMENTO. AF_12/2017</t>
  </si>
  <si>
    <t>97666</t>
  </si>
  <si>
    <t>REMOÇÃO DE METAIS SANITÁRIOS, DE FORMA MANUAL, SEM REAPROVEITAMENTO. AF_12/2017</t>
  </si>
  <si>
    <t>97633</t>
  </si>
  <si>
    <t>DEMOLIÇÃO DE REVESTIMENTO CERÂMICO, DE FORMA MANUAL, SEM REAPROVEITAMENTO. AF_12/2017</t>
  </si>
  <si>
    <t>COBERTURA</t>
  </si>
  <si>
    <t>92544</t>
  </si>
  <si>
    <t>TRAMA DE MADEIRA COMPOSTA POR TERÇAS PARA TELHADOS DE ATÉ 2 ÁGUAS PARA TELHA ESTRUTURAL DE FIBROCIMENTO, INCLUSO TRANSPORTE VERTICAL. AF_07/2019</t>
  </si>
  <si>
    <t>94446</t>
  </si>
  <si>
    <t>TELHAMENTO COM TELHA CERÂMICA CAPA-CANAL, TIPO PLAN, COM MAIS DE 2 ÁGUAS, INCLUSO TRANSPORTE VERTICAL. AF_07/2019</t>
  </si>
  <si>
    <t>71364</t>
  </si>
  <si>
    <t>Cobertura em policarbonato Incolor- Incl. estr. metálica</t>
  </si>
  <si>
    <t>87274</t>
  </si>
  <si>
    <t>REVESTIMENTO CERÂMICO PARA PAREDES INTERNAS COM PLACAS TIPO ESMALTADA EXTRA DE DIMENSÕES 33X45 CM APLICADAS EM AMBIENTES DE ÁREA MENOR QUE 5 M² A MEIA ALTURA DAS PAREDES. AF_06/2014</t>
  </si>
  <si>
    <t>ESQUADRIAS</t>
  </si>
  <si>
    <t>102184</t>
  </si>
  <si>
    <t>PORTA DE ABRIR COM MOLA HIDRÁULICA, EM VIDRO TEMPERADO, 90X210 CM, ESPESSURA 10 MM, INCLUSIVE ACESSÓRIOS. AF_01/2021</t>
  </si>
  <si>
    <t>100701</t>
  </si>
  <si>
    <t>PORTA DE FERRO, DE ABRIR, TIPO GRADE COM CHAPA, COM GUARNIÇÕES. AF_12/2019</t>
  </si>
  <si>
    <t>PORTA DE ENROLAR MANUAL COMPLETA, ARTICULADA RAIADA LARGA, EM ACO GALVANIZADO NATURAL, CHAPA NUMERO 24 , INCLUSO PINTURA DE FUNDO ZARCÃO E TINTA ESMALTE ACETINADO - FORNECIMENTO E INSTALAÇÃO</t>
  </si>
  <si>
    <t>94569</t>
  </si>
  <si>
    <t>JANELA DE ALUMÍNIO TIPO MAXIM-AR, COM VIDROS, BATENTE E FERRAGENS. EXCLUSIVE ALIZAR, ACABAMENTO E CONTRAMARCO. FORNECIMENTO E INSTALAÇÃO. AF_12/2019</t>
  </si>
  <si>
    <t>RODAPÉ / SOLEIRA / PEITORIL</t>
  </si>
  <si>
    <t>98695</t>
  </si>
  <si>
    <t>SOLEIRA EM MÁRMORE, LARGURA 15 CM, ESPESSURA 2,0 CM. AF_09/2020</t>
  </si>
  <si>
    <t>87260</t>
  </si>
  <si>
    <t>REVESTIMENTO CERÂMICO PARA PISO COM PLACAS TIPO PORCELANATO DE DIMENSÕES 45X45 CM APLICADA EM AMBIENTES DE ÁREA MAIOR QUE 10 M². AF_06/2014</t>
  </si>
  <si>
    <t>101749</t>
  </si>
  <si>
    <t>PISO CIMENTADO, TRAÇO 1:3 (CIMENTO E AREIA), ACABAMENTO LISO, ESPESSURA 4,0 CM, PREPARO MECÂNICO DA ARGAMASSA. AF_09/2020</t>
  </si>
  <si>
    <t>94273</t>
  </si>
  <si>
    <t>ASSENTAMENTO DE GUIA (MEIO-FIO) EM TRECHO RETO, CONFECCIONADA EM CONCRETO PRÉ-FABRICADO, DIMENSÕES 100X15X13X30 CM (COMPRIMENTO X BASE INFERIOR X BASE SUPERIOR X ALTURA), PARA VIAS URBANAS (USO VIÁRIO). AF_06/2016</t>
  </si>
  <si>
    <t>9.2</t>
  </si>
  <si>
    <t>9.3</t>
  </si>
  <si>
    <t>9.4</t>
  </si>
  <si>
    <t>88495</t>
  </si>
  <si>
    <t>APLICAÇÃO E LIXAMENTO DE MASSA LÁTEX EM PAREDES, UMA DEMÃO. AF_06/2014</t>
  </si>
  <si>
    <t>100739</t>
  </si>
  <si>
    <t>PINTURA COM TINTA ALQUÍDICA DE ACABAMENTO (ESMALTE SINTÉTICO ACETINADO) PULVERIZADA SOBRE PERFIL METÁLICO EXECUTADO EM FÁBRICA (POR DEMÃO). AF_01/2020_P</t>
  </si>
  <si>
    <t>APLICAÇÃO PULVERIZADA DE TINTA/RESINA ACRILICA PREMIUM EM TELHA CERAMICA</t>
  </si>
  <si>
    <t>102213</t>
  </si>
  <si>
    <t>PINTURA VERNIZ (INCOLOR) ALQUÍDICO EM MADEIRA, USO INTERNO E EXTERNO, 2 DEMÃOS. AF_01/2021</t>
  </si>
  <si>
    <t>102491</t>
  </si>
  <si>
    <t>PINTURA DE PISO COM TINTA ACRÍLICA, APLICAÇÃO MANUAL, 2 DEMÃOS, INCLUSO FUNDO PREPARADOR. AF_05/2021</t>
  </si>
  <si>
    <t>93145</t>
  </si>
  <si>
    <t>PONTO DE ILUMINAÇÃO E TOMADA, RESIDENCIAL, INCLUINDO INTERRUPTOR SIMPLES E TOMADA 10A/250V, CAIXA ELÉTRICA, ELETRODUTO, CABO, RASGO, QUEBRA E CHUMBAMENTO (EXCLUINDO LUMINÁRIA E LÂMPADA). AF_01/2016</t>
  </si>
  <si>
    <t>93137</t>
  </si>
  <si>
    <t>PONTO DE ILUMINAÇÃO RESIDENCIAL INCLUINDO INTERRUPTOR SIMPLES (2 MÓDULOS), CAIXA ELÉTRICA, ELETRODUTO, CABO, RASGO, QUEBRA E CHUMBAMENTO (EXCLUINDO LUMINÁRIA E LÂMPADA). AF_01/2016</t>
  </si>
  <si>
    <t>97891</t>
  </si>
  <si>
    <t>CAIXA ENTERRADA ELÉTRICA RETANGULAR, EM ALVENARIA COM BLOCOS DE CONCRETO, FUNDO COM BRITA, DIMENSÕES INTERNAS: 0,4X0,4X0,4 M. AF_12/2020</t>
  </si>
  <si>
    <t>12.4</t>
  </si>
  <si>
    <t>12.5</t>
  </si>
  <si>
    <t>12.6</t>
  </si>
  <si>
    <t>12.7</t>
  </si>
  <si>
    <t>12.8</t>
  </si>
  <si>
    <t>12.9</t>
  </si>
  <si>
    <t>INSTALAÇÕES HIDROSSANITÁRIAS</t>
  </si>
  <si>
    <t>95472</t>
  </si>
  <si>
    <t>VASO SANITARIO SIFONADO CONVENCIONAL PARA PCD SEM FURO FRONTAL COM LOUÇA BRANCA SEM ASSENTO, INCLUSO CONJUNTO DE LIGAÇÃO PARA BACIA SANITÁRIA AJUSTÁVEL - FORNECIMENTO E INSTALAÇÃO. AF_01/2020</t>
  </si>
  <si>
    <t>86940</t>
  </si>
  <si>
    <t>LAVATÓRIO LOUÇA BRANCA COM COLUNA, 45 X 55CM OU EQUIVALENTE, PADRÃO MÉDIO, INCLUSO SIFÃO TIPO GARRAFA, VÁLVULA E ENGATE FLEXÍVEL DE 40CM EM METAL CROMADO, COM APARELHO MISTURADOR PADRÃO MÉDIO - FORNECIMENTO E INSTALAÇÃO. AF_01/2020</t>
  </si>
  <si>
    <t>93441</t>
  </si>
  <si>
    <t>BANCADA GRANITO CINZA  150 X 60 CM, COM CUBA DE EMBUTIR DE AÇO, VÁLVULA AMERICANA EM METAL, SIFÃO FLEXÍVEL EM PVC, ENGATE FLEXÍVEL 30 CM, TORNEIRA CROMADA LONGA, DE PAREDE, 1/2 OU 3/4, P/ COZINHA, PADRÃO POPULAR - FORNEC. E INSTALAÇÃO. AF_01/2020</t>
  </si>
  <si>
    <t>86915</t>
  </si>
  <si>
    <t>TORNEIRA CROMADA DE MESA, 1/2 OU 3/4, PARA LAVATÓRIO, PADRÃO MÉDIO - FORNECIMENTO E INSTALAÇÃO. AF_01/2020</t>
  </si>
  <si>
    <t>95544</t>
  </si>
  <si>
    <t>PAPELEIRA DE PAREDE EM METAL CROMADO SEM TAMPA, INCLUSO FIXAÇÃO. AF_01/2020</t>
  </si>
  <si>
    <t>100855</t>
  </si>
  <si>
    <t>SABONETEIRA DE PAREDE EM PLASTICO ABS COM ACABAMENTO CROMADO E ACRILICO, INCLUSO FIXAÇÃO. AF_01/2020</t>
  </si>
  <si>
    <t>89709</t>
  </si>
  <si>
    <t>RALO SIFONADO, PVC, DN 100 X 40 MM, JUNTA SOLDÁVEL, FORNECIDO E INSTALADO EM RAMAL DE DESCARGA OU EM RAMAL DE ESGOTO SANITÁRIO. AF_12/2014</t>
  </si>
  <si>
    <t>REVISÃO DE PONTO DE CONSUMO TERMINAL DE ÁGUA FRIA (SUBRAMAL) COM TUBULAÇÃO DE PVC, DN 25 MM, INSTALADO EM RAMAL DE ÁGUA</t>
  </si>
  <si>
    <t>97906</t>
  </si>
  <si>
    <t>CAIXA ENTERRADA HIDRÁULICA RETANGULAR, EM ALVENARIA COM BLOCOS DE CONCRETO, DIMENSÕES INTERNAS: 0,6X0,6X0,6 M PARA REDE DE ESGOTO. AF_12/2020</t>
  </si>
  <si>
    <t>10826</t>
  </si>
  <si>
    <t>MUDA DE ARBUSTO FLORIFERO, CLUSIA/GARDENIA/MOREIA BRANCA/ AZALEIA OU EQUIVALENTE DA REGIAO, H= *50 A 70* CM</t>
  </si>
  <si>
    <t>RECUPERAÇÃO E REVITALIZAÇÃO DE BANCO EM MADEIRA E FERRO - FORNECIMENTO E INSTALAÇÃO</t>
  </si>
  <si>
    <t>RECUPERAÇÃO E REVITALIZAÇÃO DE LIXEIRA EM MADEIRA E FERRO - FORNECIMENTO E INSTALAÇÃO</t>
  </si>
  <si>
    <t>13.2</t>
  </si>
  <si>
    <t>13.3</t>
  </si>
  <si>
    <t>13.4</t>
  </si>
  <si>
    <t>13.5</t>
  </si>
  <si>
    <t>13.6</t>
  </si>
  <si>
    <t>14.2</t>
  </si>
  <si>
    <t>14.3</t>
  </si>
  <si>
    <t>14.4</t>
  </si>
  <si>
    <t>14.5</t>
  </si>
  <si>
    <t>QUADRA DE AREIA</t>
  </si>
  <si>
    <t>COLCHAO DE AREIA E=20CM - FORNECIMENTO E INSTALAÇÃO</t>
  </si>
  <si>
    <t>102362</t>
  </si>
  <si>
    <t>ALAMBRADO PARA QUADRA POLIESPORTIVA, ESTRUTURADO POR TUBOS DE ACO GALVANIZADO, (MONTANTES COM DIAMETRO 2", TRAVESSAS E ESCORAS COM DIÂMETRO 1 ¼), COM TELA DE ARAME GALVANIZADO, FIO 14 BWG E MALHA QUADRADA 5X5CM (EXCETO MURETA). AF_03/2021</t>
  </si>
  <si>
    <t xml:space="preserve">Conjunto de Poste metálico p/ rede de vôlei - FORNECIMENTO E INSTALAÇÃO. </t>
  </si>
  <si>
    <t xml:space="preserve">Conjunto de Trave metálica p/ futebol - FORNECIMENTO E INSTALAÇÃO. </t>
  </si>
  <si>
    <t xml:space="preserve">TELA DE NYLON PARA PROTEÇÃO - FORNECIMENTO E INSTALAÇÃO. </t>
  </si>
  <si>
    <t>15.1</t>
  </si>
  <si>
    <t>88309</t>
  </si>
  <si>
    <t>PEDREIRO COM ENCARGOS COMPLEMENTARES</t>
  </si>
  <si>
    <t>11953</t>
  </si>
  <si>
    <t>PARAFUSO FRANCES ZINCADO, DIAMETRO 1/2'', COMPRIMENTO 2'', COM PORCA E ARRUELA</t>
  </si>
  <si>
    <t>4460</t>
  </si>
  <si>
    <t>SARRAFO NAO APARELHADO *2,5 X 10* CM, EM MACARANDUBA, ANGELIM OU EQUIVALENTE DA REGIAO -  BRUTA</t>
  </si>
  <si>
    <t>100717</t>
  </si>
  <si>
    <t>LIXAMENTO MANUAL EM SUPERFÍCIES METÁLICAS EM OBRA. AF_01/2020</t>
  </si>
  <si>
    <t>102193</t>
  </si>
  <si>
    <t>LIXAMENTO DE MADEIRA PARA APLICAÇÃO DE FUNDO OU PINTURA. AF_01/2021</t>
  </si>
  <si>
    <t xml:space="preserve">UN </t>
  </si>
  <si>
    <t>4911</t>
  </si>
  <si>
    <t>PORTA DE ENROLAR MANUAL COMPLETA, ARTICULADA RAIADA LARGA, EM ACO GALVANIZADO NATURAL, CHAPA NUMERO 24 (SEM INSTALACAO)</t>
  </si>
  <si>
    <t>370</t>
  </si>
  <si>
    <t>AREIA MEDIA - POSTO JAZIDA/FORNECEDOR (RETIRADO NA JAZIDA, SEM TRANSPORTE)</t>
  </si>
  <si>
    <t xml:space="preserve">M3    </t>
  </si>
  <si>
    <t>SEDOP-I</t>
  </si>
  <si>
    <t>D00153</t>
  </si>
  <si>
    <t>Poste metálico p/ rede de vôlei</t>
  </si>
  <si>
    <t>D00154</t>
  </si>
  <si>
    <t>Trave metálica p/ futebol de salão</t>
  </si>
  <si>
    <t>D00501</t>
  </si>
  <si>
    <t>Tela de nylon</t>
  </si>
  <si>
    <t>D00452</t>
  </si>
  <si>
    <t>Ganchos e parafusos p/ tela de nylon</t>
  </si>
  <si>
    <t>CJ</t>
  </si>
  <si>
    <t>7350</t>
  </si>
  <si>
    <t>TINTA/RESINA ACRILICA PREMIUM PARA CERAMICA</t>
  </si>
  <si>
    <t>95217</t>
  </si>
  <si>
    <t>PULVERIZADOR DE TINTA ELÉTRICO/MÁQUINA DE PINTURA AIRLESS, VAZÃO 2 L/MIN - MATERIAIS NA OPERAÇÃO. AF_08/2016</t>
  </si>
  <si>
    <t>89957</t>
  </si>
  <si>
    <t>PONTO DE CONSUMO TERMINAL DE ÁGUA FRIA (SUBRAMAL) COM TUBULAÇÃO DE PVC, DN 25 MM, INSTALADO EM RAMAL DE ÁGUA, INCLUSOS RASGO E CHUMBAMENTO EM ALVENARIA. AF_12/2014</t>
  </si>
  <si>
    <t>Prazo de execução 90 dias</t>
  </si>
  <si>
    <t>CONTRATAÇÃO DE EMPRESA DE ENGENHARIA PARA REFORMA E REVITALIZAÇÃO DA PRAÇA DA FAMILIA - BAIRRO VILA NOVA, VISANDO ATENDER AS NECESSIDADES DA SECRETARIA MUNICIPAL DE OBRAS, TRANSPORTE, ÁGUA E URBANISMO DO MUNICIPIO DE IPIXUNA DO PARÁ, EM CONFORMIDADE COM O PROJETO BÁSICO, PLANILHA ORÇAMENTÁRIA, CRONOGRAMA FISICO FINANCEIRO E MEMORIAL DESCRITIVO</t>
  </si>
  <si>
    <t>PROCESSO ADMINISTRATIVO Nº 0905/2022</t>
  </si>
  <si>
    <t xml:space="preserve">MODALIDADE: TOMADA DE PREÇOS Nº 0012/2022-TP </t>
  </si>
  <si>
    <t>PLANILHA ORÇAMENTÁRIA SINTÉTICA</t>
  </si>
  <si>
    <t>TOTAL MATERIAL/EQUIPAMENTO</t>
  </si>
  <si>
    <t>TOTAL SEM BDI</t>
  </si>
  <si>
    <t>TOTAL COM BDI</t>
  </si>
  <si>
    <t>TOTAL MÃO DE OBRA COM ENCARGO SOCIAIS (Horista: 87,48%; Mensalisa: 47,94%)</t>
  </si>
  <si>
    <t>BDI (Material: 29,27% ; Mão de Obra: 29,27%; Equipamento: 29,27%)</t>
  </si>
  <si>
    <t>INSUMOS</t>
  </si>
  <si>
    <t>MÃO DE OBRA</t>
  </si>
  <si>
    <t>99829</t>
  </si>
  <si>
    <t>LAVADORA DE ALTA PRESSAO (LAVA-JATO) PARA AGUA FRIA, PRESSAO DE OPERACAO ENTRE 1400 E 1900 LIB/POL2, VAZAO MAXIMA ENTRE 400 E 700 L/H - DEPRECIAÇÃO. AF_04/2019</t>
  </si>
  <si>
    <t>99830</t>
  </si>
  <si>
    <t>LAVADORA DE ALTA PRESSAO (LAVA-JATO) PARA AGUA FRIA, PRESSAO DE OPERACAO ENTRE 1400 E 1900 LIB/POL2, VAZAO MAXIMA ENTRE 400 E 700 L/H - JUROS. AF_04/2019</t>
  </si>
  <si>
    <t>99831</t>
  </si>
  <si>
    <t>LAVADORA DE ALTA PRESSAO (LAVA-JATO) PARA AGUA FRIA, PRESSAO DE OPERACAO ENTRE 1400 E 1900 LIB/POL2, VAZAO MAXIMA ENTRE 400 E 700 L/H - MANUTENÇÃO. AF_04/2019</t>
  </si>
  <si>
    <t>99832</t>
  </si>
  <si>
    <t>LAVADORA DE ALTA PRESSAO (LAVA-JATO) PARA AGUA FRIA, PRESSAO DE OPERACAO ENTRE 1400 E 1900 LIB/POL2, VAZAO MAXIMA ENTRE 400 E 700 L/H - MATERIAIS NA OPERAÇÃO. AF_04/2019</t>
  </si>
  <si>
    <t>7173</t>
  </si>
  <si>
    <t>TELHA DE BARRO / CERAMICA, NAO ESMALTADA, TIPO COLONIAL, CANAL, PLAN, PAULISTA, COMPRIMENTO DE *44 A 50* CM, RENDIMENTO DE COBERTURA DE *26* TELHAS/M2</t>
  </si>
  <si>
    <t xml:space="preserve">MIL   </t>
  </si>
  <si>
    <t>88323</t>
  </si>
  <si>
    <t>TELHADISTA COM ENCARGOS COMPLEMENTARES</t>
  </si>
  <si>
    <t>93281</t>
  </si>
  <si>
    <t>GUINCHO ELÉTRICO DE COLUNA, CAPACIDADE 400 KG, COM MOTO FREIO, MOTOR TRIFÁSICO DE 1,25 CV - CHP DIURNO. AF_03/2016</t>
  </si>
  <si>
    <t>93282</t>
  </si>
  <si>
    <t>GUINCHO ELÉTRICO DE COLUNA, CAPACIDADE 400 KG, COM MOTO FREIO, MOTOR TRIFÁSICO DE 1,25 CV - CHI DIURNO. AF_03/2016</t>
  </si>
  <si>
    <t>CHI</t>
  </si>
  <si>
    <t>4430</t>
  </si>
  <si>
    <t>CAIBRO NAO APARELHADO *5 X 6* CM, EM MACARANDUBA, ANGELIM OU EQUIVALENTE DA REGIAO -  BRUTA</t>
  </si>
  <si>
    <t>39027</t>
  </si>
  <si>
    <t>PREGO DE ACO POLIDO COM CABECA 19  X 36 (3 1/4  X  9)</t>
  </si>
  <si>
    <t>88239</t>
  </si>
  <si>
    <t>AJUDANTE DE CARPINTEIRO COM ENCARGOS COMPLEMENTARES</t>
  </si>
  <si>
    <t>4408</t>
  </si>
  <si>
    <t>RIPA NAO APARELHADA,  *1,5 X 5* CM, EM MACARANDUBA, ANGELIM OU EQUIVALENTE DA REGIAO -  BRUTA</t>
  </si>
  <si>
    <t>20247</t>
  </si>
  <si>
    <t>PREGO DE ACO POLIDO COM CABECA 15 X 15 (1 1/4 X 13)</t>
  </si>
  <si>
    <t>88278</t>
  </si>
  <si>
    <t>MONTADOR DE ESTRUTURA METÁLICA COM ENCARGOS COMPLEMENTARES</t>
  </si>
  <si>
    <t>88267</t>
  </si>
  <si>
    <t>ENCANADOR OU BOMBEIRO HIDRÁULICO COM ENCARGOS COMPLEMENTARES</t>
  </si>
  <si>
    <t>88256</t>
  </si>
  <si>
    <t>AZULEJISTA OU LADRILHISTA COM ENCARGOS COMPLEMENTARES</t>
  </si>
  <si>
    <t>5901</t>
  </si>
  <si>
    <t>CAMINHÃO PIPA 10.000 L TRUCADO, PESO BRUTO TOTAL 23.000 KG, CARGA ÚTIL MÁXIMA 15.935 KG, DISTÂNCIA ENTRE EIXOS 4,8 M, POTÊNCIA 230 CV, INCLUSIVE TANQUE DE AÇO PARA TRANSPORTE DE ÁGUA - CHP DIURNO. AF_06/2014</t>
  </si>
  <si>
    <t>5903</t>
  </si>
  <si>
    <t>CAMINHÃO PIPA 10.000 L TRUCADO, PESO BRUTO TOTAL 23.000 KG, CARGA ÚTIL MÁXIMA 15.935 KG, DISTÂNCIA ENTRE EIXOS 4,8 M, POTÊNCIA 230 CV, INCLUSIVE TANQUE DE AÇO PARA TRANSPORTE DE ÁGUA - CHI DIURNO. AF_06/2014</t>
  </si>
  <si>
    <t>6079</t>
  </si>
  <si>
    <t>ARGILA, ARGILA VERMELHA OU ARGILA ARENOSA (RETIRADA NA JAZIDA, SEM TRANSPORTE)</t>
  </si>
  <si>
    <t>91533</t>
  </si>
  <si>
    <t>COMPACTADOR DE SOLOS DE PERCUSSÃO (SOQUETE) COM MOTOR A GASOLINA 4 TEMPOS, POTÊNCIA 4 CV - CHP DIURNO. AF_08/2015</t>
  </si>
  <si>
    <t>91534</t>
  </si>
  <si>
    <t>COMPACTADOR DE SOLOS DE PERCUSSÃO (SOQUETE) COM MOTOR A GASOLINA 4 TEMPOS, POTÊNCIA 4 CV - CHI DIURNO. AF_08/2015</t>
  </si>
  <si>
    <t>4472</t>
  </si>
  <si>
    <t>VIGA NAO APARELHADA *6 X 16* CM, EM MACARANDUBA, ANGELIM OU EQUIVALENTE DA REGIAO -  BRUTA</t>
  </si>
  <si>
    <t>40568</t>
  </si>
  <si>
    <t>PREGO DE ACO POLIDO COM CABECA 22 X 48 (4 1/4 X 5)</t>
  </si>
  <si>
    <t>D00205</t>
  </si>
  <si>
    <t>Cobertura - em policarbonato incolor (incl est metálica)-Instalada</t>
  </si>
  <si>
    <t>87369</t>
  </si>
  <si>
    <t>ARGAMASSA TRAÇO 1:2:8 (EM VOLUME DE CIMENTO, CAL E AREIA MÉDIA ÚMIDA) PARA EMBOÇO/MASSA ÚNICA/ASSENTAMENTO DE ALVENARIA DE VEDAÇÃO, PREPARO MANUAL. AF_08/2019</t>
  </si>
  <si>
    <t>536</t>
  </si>
  <si>
    <t>REVESTIMENTO EM CERAMICA ESMALTADA EXTRA, PEI MENOR OU IGUAL A 3, FORMATO MENOR OU IGUAL A 2025 CM2</t>
  </si>
  <si>
    <t>1381</t>
  </si>
  <si>
    <t>ARGAMASSA COLANTE AC I PARA CERAMICAS</t>
  </si>
  <si>
    <t>34357</t>
  </si>
  <si>
    <t>REJUNTE CIMENTICIO, QUALQUER COR</t>
  </si>
  <si>
    <t>3104</t>
  </si>
  <si>
    <t>CONJ. DE FERRAGENS PARA PORTA DE VIDRO TEMPERADO, EM ZAMAC CROMADO, CONTEMPLANDO DOBRADICA INF., DOBRADICA SUP., PIVO PARA DOBRADICA INF., PIVO PARA DOBRADICA SUP., FECHADURA CENTRAL EM ZAMC. CROMADO, CONTRA FECHADURA DE PRESSAO</t>
  </si>
  <si>
    <t xml:space="preserve">CJ    </t>
  </si>
  <si>
    <t>5031</t>
  </si>
  <si>
    <t>VIDRO TEMPERADO INCOLOR PARA PORTA DE ABRIR, E = 10 MM (SEM FERRAGENS E SEM COLOCACAO)</t>
  </si>
  <si>
    <t>11499</t>
  </si>
  <si>
    <t>MOLA HIDRAULICA DE PISO, PARA PORTAS DE ATE 1100 MM E PESO DE ATE 120 KG, COM CORPO EM ACO INOX</t>
  </si>
  <si>
    <t>88325</t>
  </si>
  <si>
    <t>VIDRACEIRO COM ENCARGOS COMPLEMENTARES</t>
  </si>
  <si>
    <t>4930</t>
  </si>
  <si>
    <t>PORTA DE ABRIR / GIRO, EM GRADIL FERRO, COM BARRA CHATA 3 CM X 1/4", COM REQUADRO E GUARNICAO - COMPLETO - ACABAMENTO NATURAL</t>
  </si>
  <si>
    <t>88627</t>
  </si>
  <si>
    <t>ARGAMASSA TRAÇO 1:0,5:4,5 (EM VOLUME DE CIMENTO, CAL E AREIA MÉDIA ÚMIDA) PARA ASSENTAMENTO DE ALVENARIA, PREPARO MANUAL. AF_08/2019</t>
  </si>
  <si>
    <t>4377</t>
  </si>
  <si>
    <t>PARAFUSO DE ACO ZINCADO COM ROSCA SOBERBA, CABECA CHATA E FENDA SIMPLES, DIAMETRO 4,2 MM, COMPRIMENTO * 32 * MM</t>
  </si>
  <si>
    <t>34381</t>
  </si>
  <si>
    <t>JANELA MAXIM AR, EM ALUMINIO PERFIL 25, 60 X 80 CM (A X L), ACABAMENTO BRANCO OU BRILHANTE, BATENTE DE 4 A 5 CM, COM VIDRO, SEM GUARNICAO/ALIZAR</t>
  </si>
  <si>
    <t>39961</t>
  </si>
  <si>
    <t>SILICONE ACETICO USO GERAL INCOLOR 280 G</t>
  </si>
  <si>
    <t>4828</t>
  </si>
  <si>
    <t>SOLEIRA/ PEITORIL EM MARMORE, POLIDO, BRANCO COMUM, L= *15* CM, E=  *2* CM,  CORTE RETO</t>
  </si>
  <si>
    <t>37595</t>
  </si>
  <si>
    <t>ARGAMASSA COLANTE TIPO AC III</t>
  </si>
  <si>
    <t>88274</t>
  </si>
  <si>
    <t>MARMORISTA/GRANITEIRO COM ENCARGOS COMPLEMENTARES</t>
  </si>
  <si>
    <t>34747</t>
  </si>
  <si>
    <t>PEITORIL EM MARMORE, POLIDO, BRANCO COMUM, L= *15* CM, E=  *2,0* CM, COM PINGADEIRA</t>
  </si>
  <si>
    <t>87283</t>
  </si>
  <si>
    <t>ARGAMASSA TRAÇO 1:6 (EM VOLUME DE CIMENTO E AREIA MÉDIA ÚMIDA) COM ADIÇÃO DE PLASTIFICANTE PARA EMBOÇO/MASSA ÚNICA/ASSENTAMENTO DE ALVENARIA DE VEDAÇÃO, PREPARO MECÂNICO COM BETONEIRA 400 L. AF_08/2019</t>
  </si>
  <si>
    <t>91692</t>
  </si>
  <si>
    <t>SERRA CIRCULAR DE BANCADA COM MOTOR ELÉTRICO POTÊNCIA DE 5HP, COM COIFA PARA DISCO 10" - CHP DIURNO. AF_08/2015</t>
  </si>
  <si>
    <t>91693</t>
  </si>
  <si>
    <t>SERRA CIRCULAR DE BANCADA COM MOTOR ELÉTRICO POTÊNCIA DE 5HP, COM COIFA PARA DISCO 10" - CHI DIURNO. AF_08/2015</t>
  </si>
  <si>
    <t>4517</t>
  </si>
  <si>
    <t>SARRAFO *2,5 X 7,5* CM EM PINUS, MISTA OU EQUIVALENTE DA REGIAO - BRUTA</t>
  </si>
  <si>
    <t>94964</t>
  </si>
  <si>
    <t>CONCRETO FCK = 20MPA, TRAÇO 1:2,7:3 (EM MASSA SECA DE CIMENTO/ AREIA MÉDIA/ BRITA 1) - PREPARO MECÂNICO COM BETONEIRA 400 L. AF_05/2021</t>
  </si>
  <si>
    <t>21108</t>
  </si>
  <si>
    <t>PISO EM PORCELANATO RETIFICADO EXTRA, FORMATO MENOR OU IGUAL A 2025 CM2</t>
  </si>
  <si>
    <t>1379</t>
  </si>
  <si>
    <t>CIMENTO PORTLAND COMPOSTO CP II-32</t>
  </si>
  <si>
    <t>3671</t>
  </si>
  <si>
    <t>JUNTA PLASTICA DE DILATACAO PARA PISOS, COR CINZA, 17 X 3 MM (ALTURA X ESPESSURA)</t>
  </si>
  <si>
    <t>87298</t>
  </si>
  <si>
    <t>ARGAMASSA TRAÇO 1:3 (EM VOLUME DE CIMENTO E AREIA MÉDIA ÚMIDA) PARA CONTRAPISO, PREPARO MECÂNICO COM BETONEIRA 400 L. AF_08/2019</t>
  </si>
  <si>
    <t>4059</t>
  </si>
  <si>
    <t>MEIO-FIO OU GUIA DE CONCRETO, PRE-MOLDADO, COMP 1 M, *30 X 12/15* CM (H X L1/L2)</t>
  </si>
  <si>
    <t>88629</t>
  </si>
  <si>
    <t>ARGAMASSA TRAÇO 1:3 (EM VOLUME DE CIMENTO E AREIA MÉDIA ÚMIDA), PREPARO MANUAL. AF_08/2019</t>
  </si>
  <si>
    <t>3767</t>
  </si>
  <si>
    <t>LIXA EM FOLHA PARA PAREDE OU MADEIRA, NUMERO 120, COR VERMELHA</t>
  </si>
  <si>
    <t>43626</t>
  </si>
  <si>
    <t>MASSA CORRIDA PARA SUPERFICIES DE AMBIENTES INTERNOS</t>
  </si>
  <si>
    <t>6085</t>
  </si>
  <si>
    <t>SELADOR ACRILICO OPACO PREMIUM INTERIOR/EXTERIOR</t>
  </si>
  <si>
    <t>7356</t>
  </si>
  <si>
    <t>TINTA LATEX ACRILICA PREMIUM, COR BRANCO FOSCO</t>
  </si>
  <si>
    <t>5318</t>
  </si>
  <si>
    <t>DILUENTE AGUARRAS</t>
  </si>
  <si>
    <t>7307</t>
  </si>
  <si>
    <t>FUNDO ANTICORROSIVO PARA METAIS FERROSOS (ZARCAO)</t>
  </si>
  <si>
    <t>7311</t>
  </si>
  <si>
    <t>TINTA ESMALTE SINTETICO PREMIUM ACETINADO</t>
  </si>
  <si>
    <t>10481</t>
  </si>
  <si>
    <t>VERNIZ MARITIMO PREMIUM PARA MADEIRA, COM FILTRO SOLAR, BRILHANTE, USO INTERNO E EXTERNO</t>
  </si>
  <si>
    <t>7348</t>
  </si>
  <si>
    <t>TINTA ACRILICA PREMIUM PARA PISO</t>
  </si>
  <si>
    <t>12815</t>
  </si>
  <si>
    <t>FITA CREPE ROLO DE 25 MM X 50 M</t>
  </si>
  <si>
    <t>90447</t>
  </si>
  <si>
    <t>RASGO EM ALVENARIA PARA ELETRODUTOS COM DIAMETROS MENORES OU IGUAIS A 40 MM. AF_05/2015</t>
  </si>
  <si>
    <t>90456</t>
  </si>
  <si>
    <t>QUEBRA EM ALVENARIA PARA INSTALAÇÃO DE CAIXA DE TOMADA (4X4 OU 4X2). AF_05/2015</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</si>
  <si>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</si>
  <si>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</si>
  <si>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</si>
  <si>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</si>
  <si>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91852</t>
  </si>
  <si>
    <t>ELETRODUTO FLEXÍVEL CORRUGADO, PVC, DN 20 MM (1/2"), PARA CIRCUITOS TERMINAIS, INSTALADO EM PAREDE - FORNECIMENTO E INSTALAÇÃO. AF_12/2015</t>
  </si>
  <si>
    <t>91924</t>
  </si>
  <si>
    <t>CABO DE COBRE FLEXÍVEL ISOLADO, 1,5 MM², ANTI-CHAMA 450/750 V, PARA CIRCUITOS TERMINAIS - FORNECIMENTO E INSTALAÇÃO. AF_12/2015</t>
  </si>
  <si>
    <t>91926</t>
  </si>
  <si>
    <t>CABO DE COBRE FLEXÍVEL ISOLADO, 2,5 MM², ANTI-CHAMA 450/750 V, PARA CIRCUITOS TERMINAIS - FORNECIMENTO E INSTALAÇÃO. AF_12/2015</t>
  </si>
  <si>
    <t>91937</t>
  </si>
  <si>
    <t>CAIXA OCTOGONAL 3" X 3", PVC, INSTALADA EM LAJE - FORNECIMENTO E INSTALAÇÃO. AF_12/2015</t>
  </si>
  <si>
    <t>91940</t>
  </si>
  <si>
    <t>CAIXA RETANGULAR 4" X 2" MÉDIA (1,30 M DO PISO), PVC, INSTALADA EM PAREDE - FORNECIMENTO E INSTALAÇÃO. AF_12/2015</t>
  </si>
  <si>
    <t>92023</t>
  </si>
  <si>
    <t>INTERRUPTOR SIMPLES (1 MÓDULO) COM 1 TOMADA DE EMBUTIR 2P+T 10 A,  INCLUINDO SUPORTE E PLACA - FORNECIMENTO E INSTALAÇÃO. AF_12/2015</t>
  </si>
  <si>
    <t>91959</t>
  </si>
  <si>
    <t>INTERRUPTOR SIMPLES (2 MÓDULOS), 10A/250V, INCLUINDO SUPORTE E PLACA - FORNECIMENTO E INSTALAÇÃO. AF_12/2015</t>
  </si>
  <si>
    <t>E00002</t>
  </si>
  <si>
    <t>E00006</t>
  </si>
  <si>
    <t>E00015</t>
  </si>
  <si>
    <t>E00087</t>
  </si>
  <si>
    <t>Bucha e arruela de 1"-aluminio</t>
  </si>
  <si>
    <t>Cabo de cobre 6.0 mm2 - 750V</t>
  </si>
  <si>
    <t>Eletroduto PVC Rígido de 1"</t>
  </si>
  <si>
    <t>Disjuntor 3P-30A</t>
  </si>
  <si>
    <t>5928</t>
  </si>
  <si>
    <t>GUINDAUTO HIDRÁULICO, CAPACIDADE MÁXIMA DE CARGA 6200 KG, MOMENTO MÁXIMO DE CARGA 11,7 TM, ALCANCE MÁXIMO HORIZONTAL 9,70 M, INCLUSIVE CAMINHÃO TOCO PBT 16.000 KG, POTÊNCIA DE 189 CV - CHP DIURNO. AF_06/2014</t>
  </si>
  <si>
    <t>21127</t>
  </si>
  <si>
    <t>FITA ISOLANTE ADESIVA ANTICHAMA, USO ATE 750 V, EM ROLO DE 19 MM X 5 M</t>
  </si>
  <si>
    <t>42249</t>
  </si>
  <si>
    <t>LUMINARIA DE LED PARA ILUMINACAO PUBLICA, DE 240 W ATE 350 W, INVOLUCRO EM ALUMINIO OU ACO INOX</t>
  </si>
  <si>
    <t>2510</t>
  </si>
  <si>
    <t>RELE FOTOELETRICO INTERNO E EXTERNO BIVOLT 1000 W, DE CONECTOR, SEM BASE</t>
  </si>
  <si>
    <t>1020</t>
  </si>
  <si>
    <t>CABO DE COBRE, FLEXIVEL, CLASSE 4 OU 5, ISOLACAO EM PVC/A, ANTICHAMA BWF-B, COBERTURA PVC-ST1, ANTICHAMA BWF-B, 1 CONDUTOR, 0,6/1 KV, SECAO NOMINAL 10 MM2</t>
  </si>
  <si>
    <t>2673</t>
  </si>
  <si>
    <t>ELETRODUTO DE PVC RIGIDO ROSCAVEL DE 1/2 ", SEM LUVA</t>
  </si>
  <si>
    <t>650</t>
  </si>
  <si>
    <t>BLOCO DE VEDACAO DE CONCRETO, 9 X 19 X 39 CM (CLASSE C - NBR 6136)</t>
  </si>
  <si>
    <t>87316</t>
  </si>
  <si>
    <t>ARGAMASSA TRAÇO 1:4 (EM VOLUME DE CIMENTO E AREIA GROSSA ÚMIDA) PARA CHAPISCO CONVENCIONAL, PREPARO MECÂNICO COM BETONEIRA 400 L. AF_08/2019</t>
  </si>
  <si>
    <t>88628</t>
  </si>
  <si>
    <t>ARGAMASSA TRAÇO 1:3 (EM VOLUME DE CIMENTO E AREIA MÉDIA ÚMIDA), PREPARO MECÂNICO COM BETONEIRA 400 L. AF_08/2019</t>
  </si>
  <si>
    <t>97734</t>
  </si>
  <si>
    <t>PEÇA RETANGULAR PRÉ-MOLDADA, VOLUME DE CONCRETO DE 10 A 30 LITROS, TAXA DE AÇO APROXIMADA DE 30KG/M³. AF_01/2018</t>
  </si>
  <si>
    <t>101619</t>
  </si>
  <si>
    <t>PREPARO DE FUNDO DE VALA COM LARGURA MENOR QUE 1,5 M, COM CAMADA DE BRITA, LANÇAMENTO MANUAL. AF_08/2020</t>
  </si>
  <si>
    <t>6142</t>
  </si>
  <si>
    <t>CONJUNTO DE LIGACAO PARA BACIA SANITARIA AJUSTAVEL, EM PLASTICO BRANCO, COM TUBO, CANOPLA E ESPUDE</t>
  </si>
  <si>
    <t>95471</t>
  </si>
  <si>
    <t>VASO SANITARIO SIFONADO CONVENCIONAL PARA PCD SEM FURO FRONTAL COM  LOUÇA BRANCA SEM ASSENTO -  FORNECIMENTO E INSTALAÇÃO. AF_01/2020</t>
  </si>
  <si>
    <t>86877</t>
  </si>
  <si>
    <t>VÁLVULA EM METAL CROMADO 1.1/2 X 1.1/2 PARA TANQUE OU LAVATÓRIO, COM OU SEM LADRÃO - FORNECIMENTO E INSTALAÇÃO. AF_01/2020</t>
  </si>
  <si>
    <t>86881</t>
  </si>
  <si>
    <t>SIFÃO DO TIPO GARRAFA EM METAL CROMADO 1 X 1.1/2 - FORNECIMENTO E INSTALAÇÃO. AF_01/2020</t>
  </si>
  <si>
    <t>86887</t>
  </si>
  <si>
    <t>ENGATE FLEXÍVEL EM INOX, 1/2  X 40CM - FORNECIMENTO E INSTALAÇÃO. AF_01/2020</t>
  </si>
  <si>
    <t>86903</t>
  </si>
  <si>
    <t>LAVATÓRIO LOUÇA BRANCA COM COLUNA, 45 X 55CM OU EQUIVALENTE, PADRÃO MÉDIO - FORNECIMENTO E INSTALAÇÃO. AF_01/2020</t>
  </si>
  <si>
    <t>86905</t>
  </si>
  <si>
    <t>APARELHO MISTURADOR DE MESA PARA LAVATÓRIO, PADRÃO MÉDIO - FORNECIMENTO E INSTALAÇÃO. AF_01/2020</t>
  </si>
  <si>
    <t>86884</t>
  </si>
  <si>
    <t>ENGATE FLEXÍVEL EM PLÁSTICO BRANCO, 1/2 X 30CM - FORNECIMENTO E INSTALAÇÃO. AF_01/2020</t>
  </si>
  <si>
    <t>86889</t>
  </si>
  <si>
    <t>BANCADA DE GRANITO CINZA POLIDO, DE 1,50 X 0,60 M, PARA PIA DE COZINHA - FORNECIMENTO E INSTALAÇÃO. AF_01/2020</t>
  </si>
  <si>
    <t>86911</t>
  </si>
  <si>
    <t>TORNEIRA CROMADA LONGA, DE PAREDE, 1/2 OU 3/4, PARA PIA DE COZINHA, PADRÃO POPULAR - FORNECIMENTO E INSTALAÇÃO. AF_01/2020</t>
  </si>
  <si>
    <t>86935</t>
  </si>
  <si>
    <t>CUBA DE EMBUTIR DE AÇO INOXIDÁVEL MÉDIA, INCLUSO VÁLVULA TIPO AMERICANA EM METAL CROMADO E SIFÃO FLEXÍVEL EM PVC - FORNECIMENTO E INSTALAÇÃO. AF_01/2020</t>
  </si>
  <si>
    <t>3146</t>
  </si>
  <si>
    <t>FITA VEDA ROSCA EM ROLOS DE 18 MM X 10 M (L X C)</t>
  </si>
  <si>
    <t>36791</t>
  </si>
  <si>
    <t>TORNEIRA METALICA CROMADA DE MESA PARA LAVATORIO, BICA ALTA, COM AREJADOR (REF 1195)</t>
  </si>
  <si>
    <t>11703</t>
  </si>
  <si>
    <t>PAPELEIRA DE PAREDE EM METAL CROMADO SEM TAMPA</t>
  </si>
  <si>
    <t>11757</t>
  </si>
  <si>
    <t>SABONETEIRA DE PAREDE EM METAL CROMADO</t>
  </si>
  <si>
    <t>122</t>
  </si>
  <si>
    <t>ADESIVO PLASTICO PARA PVC, FRASCO COM *850* GR</t>
  </si>
  <si>
    <t>11741</t>
  </si>
  <si>
    <t>RALO SIFONADO CILINDRICO, PVC, 100 X 40 MM,  COM GRELHA REDONDA BRANCA</t>
  </si>
  <si>
    <t>20083</t>
  </si>
  <si>
    <t>SOLUCAO PREPARADORA / LIMPADORA PARA PVC, FRASCO COM 1000 CM3</t>
  </si>
  <si>
    <t>38383</t>
  </si>
  <si>
    <t>LIXA D'AGUA EM FOLHA, GRAO 100</t>
  </si>
  <si>
    <t>88248</t>
  </si>
  <si>
    <t>AUXILIAR DE ENCANADOR OU BOMBEIRO HIDRÁULICO COM ENCARGOS COMPLEMENTARES</t>
  </si>
  <si>
    <t>5678</t>
  </si>
  <si>
    <t>RETROESCAVADEIRA SOBRE RODAS COM CARREGADEIRA, TRAÇÃO 4X4, POTÊNCIA LÍQ. 88 HP, CAÇAMBA CARREG. CAP. MÍN. 1 M3, CAÇAMBA RETRO CAP. 0,26 M3, PESO OPERACIONAL MÍN. 6.674 KG, PROFUNDIDADE ESCAVAÇÃO MÁX. 4,37 M - CHP DIURNO. AF_06/2014</t>
  </si>
  <si>
    <t>5679</t>
  </si>
  <si>
    <t>RETROESCAVADEIRA SOBRE RODAS COM CARREGADEIRA, TRAÇÃO 4X4, POTÊNCIA LÍQ. 88 HP, CAÇAMBA CARREG. CAP. MÍN. 1 M3, CAÇAMBA RETRO CAP. 0,26 M3, PESO OPERACIONAL MÍN. 6.674 KG, PROFUNDIDADE ESCAVAÇÃO MÁX. 4,37 M - CHI DIURNO. AF_06/2014</t>
  </si>
  <si>
    <t>94970</t>
  </si>
  <si>
    <t>CONCRETO FCK = 20MPA, TRAÇO 1:2,7:3 (EM MASSA SECA DE CIMENTO/ AREIA MÉDIA/ BRITA 1) - PREPARO MECÂNICO COM BETONEIRA 600 L. AF_05/2021</t>
  </si>
  <si>
    <t>97735</t>
  </si>
  <si>
    <t>PEÇA RETANGULAR PRÉ-MOLDADA, VOLUME DE CONCRETO DE 30 A 100 LITROS, TAXA DE AÇO APROXIMADA DE 30KG/M³. AF_01/2018</t>
  </si>
  <si>
    <t>100475</t>
  </si>
  <si>
    <t>ARGAMASSA TRAÇO 1:3 (EM VOLUME DE CIMENTO E AREIA MÉDIA ÚMIDA) COM ADIÇÃO DE IMPERMEABILIZANTE, PREPARO MECÂNICO COM BETONEIRA 400 L. AF_08/2019</t>
  </si>
  <si>
    <t>101616</t>
  </si>
  <si>
    <t>PREPARO DE FUNDO DE VALA COM LARGURA MENOR QUE 1,5 M (ACERTO DO SOLO NATURAL). AF_08/2020</t>
  </si>
  <si>
    <t>38641</t>
  </si>
  <si>
    <t>MUDA DE PALMEIRA, ARECA, H= *1,50* CM</t>
  </si>
  <si>
    <t>88441</t>
  </si>
  <si>
    <t>JARDINEIRO COM ENCARGOS COMPLEMENTARES</t>
  </si>
  <si>
    <t>91634</t>
  </si>
  <si>
    <t>GUINDAUTO HIDRÁULICO, CAPACIDADE MÁXIMA DE CARGA 6500 KG, MOMENTO MÁXIMO DE CARGA 5,8 TM, ALCANCE MÁXIMO HORIZONTAL 7,60 M, INCLUSIVE CAMINHÃO TOCO PBT 9.700 KG, POTÊNCIA DE 160 CV - CHP DIURNO. AF_08/2015</t>
  </si>
  <si>
    <t>91635</t>
  </si>
  <si>
    <t>GUINDAUTO HIDRÁULICO, CAPACIDADE MÁXIMA DE CARGA 6500 KG, MOMENTO MÁXIMO DE CARGA 5,8 TM, ALCANCE MÁXIMO HORIZONTAL 7,60 M, INCLUSIVE CAMINHÃO TOCO PBT 9.700 KG, POTÊNCIA DE 160 CV - CHI DIURNO. AF_08/2015</t>
  </si>
  <si>
    <t>358</t>
  </si>
  <si>
    <t>MUDA DE ARVORE ORNAMENTAL, OITI/AROEIRA SALSA/ANGICO/IPE/JACARANDA OU EQUIVALENTE  DA REGIAO, H= *1* M</t>
  </si>
  <si>
    <t>3324</t>
  </si>
  <si>
    <t>GRAMA BATATAIS EM PLACAS, SEM PLANTIO</t>
  </si>
  <si>
    <t>7167</t>
  </si>
  <si>
    <t>TELA DE ARAME GALVANIZADA QUADRANGULAR / LOSANGULAR, FIO 2,11 MM (14 BWG), MALHA 5 X 5 CM, H = 2 M</t>
  </si>
  <si>
    <t>7696</t>
  </si>
  <si>
    <t>TUBO ACO GALVANIZADO COM COSTURA, CLASSE MEDIA, DN 2", E = *3,65* MM, PESO *5,10* KG/M (NBR 5580)</t>
  </si>
  <si>
    <t>7698</t>
  </si>
  <si>
    <t>TUBO ACO GALVANIZADO COM COSTURA, CLASSE MEDIA, DN 1.1/4", E = *3,25* MM, PESO *3,14* KG/M (NBR 5580)</t>
  </si>
  <si>
    <t>11002</t>
  </si>
  <si>
    <t>ELETRODO REVESTIDO AWS - E6013, DIAMETRO IGUAL A 2,50 MM</t>
  </si>
  <si>
    <t>43130</t>
  </si>
  <si>
    <t>ARAME GALVANIZADO 12 BWG, D = 2,76 MM (0,048 KG/M) OU 14 BWG, D = 2,11 MM (0,026 KG/M)</t>
  </si>
  <si>
    <t>88315</t>
  </si>
  <si>
    <t>SERRALHEIRO COM ENCARGOS COMPLEMENTARES</t>
  </si>
</sst>
</file>

<file path=xl/styles.xml><?xml version="1.0" encoding="utf-8"?>
<styleSheet xmlns="http://schemas.openxmlformats.org/spreadsheetml/2006/main">
  <numFmts count="4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_(* #,##0.000_);_(* \(#,##0.000\);_(* &quot;-&quot;??_);_(@_)"/>
    <numFmt numFmtId="179" formatCode="&quot;Sim&quot;;&quot;Sim&quot;;&quot;Não&quot;"/>
    <numFmt numFmtId="180" formatCode="&quot;Verdadeiro&quot;;&quot;Verdadeiro&quot;;&quot;Falso&quot;"/>
    <numFmt numFmtId="181" formatCode="&quot;Ativar&quot;;&quot;Ativar&quot;;&quot;Desativar&quot;"/>
    <numFmt numFmtId="182" formatCode="[$€-2]\ #,##0.00_);[Red]\([$€-2]\ #,##0.00\)"/>
    <numFmt numFmtId="183" formatCode="0.0%"/>
    <numFmt numFmtId="184" formatCode="_(* #,##0.0000_);_(* \(#,##0.0000\);_(* &quot;-&quot;??_);_(@_)"/>
    <numFmt numFmtId="185" formatCode="_(* #,##0.00000_);_(* \(#,##0.00000\);_(* &quot;-&quot;??_);_(@_)"/>
    <numFmt numFmtId="186" formatCode="&quot;Ativado&quot;;&quot;Ativado&quot;;&quot;Desativado&quot;"/>
    <numFmt numFmtId="187" formatCode="[$-416]dddd\,\ d&quot; de &quot;mmmm&quot; de &quot;yyyy"/>
    <numFmt numFmtId="188" formatCode="[$-F800]dddd\,\ mmmm\ dd\,\ yyyy"/>
    <numFmt numFmtId="189" formatCode="0.0000"/>
    <numFmt numFmtId="190" formatCode="_(&quot;R$&quot;* #,##0.00_);_(&quot;R$&quot;* \(#,##0.00\);_(&quot;R$&quot;* &quot;-&quot;??_);_(@_)"/>
    <numFmt numFmtId="191" formatCode="#,##0.00_ ;[Red]\-#,##0.00\ "/>
    <numFmt numFmtId="192" formatCode="0.0"/>
    <numFmt numFmtId="193" formatCode="_-* #,##0.000_-;\-* #,##0.000_-;_-* &quot;-&quot;??_-;_-@_-"/>
    <numFmt numFmtId="194" formatCode="_-&quot;R$&quot;\ * #,##0.00_-;\-&quot;R$&quot;\ * #,##0.00_-;_-&quot;R$&quot;\ * &quot;-&quot;??_-;_-@"/>
    <numFmt numFmtId="195" formatCode="0.000%"/>
    <numFmt numFmtId="196" formatCode="&quot;R$&quot;\ #,##0.00"/>
    <numFmt numFmtId="197" formatCode="0.0000%"/>
    <numFmt numFmtId="198" formatCode="&quot;R$&quot;#,##0.00"/>
    <numFmt numFmtId="199" formatCode="_-&quot;R$&quot;* #,##0.0000_-;\-&quot;R$&quot;* #,##0.0000_-;_-&quot;R$&quot;* &quot;-&quot;????_-;_-@_-"/>
    <numFmt numFmtId="200" formatCode="0.000"/>
    <numFmt numFmtId="201" formatCode="0.00000"/>
    <numFmt numFmtId="202" formatCode="_(&quot;R$&quot;* #,##0.000_);_(&quot;R$&quot;* \(#,##0.000\);_(&quot;R$&quot;* &quot;-&quot;??_);_(@_)"/>
    <numFmt numFmtId="203" formatCode="_(&quot;R$&quot;* #,##0.0000_);_(&quot;R$&quot;* \(#,##0.0000\);_(&quot;R$&quot;* &quot;-&quot;??_);_(@_)"/>
  </numFmts>
  <fonts count="80">
    <font>
      <sz val="10"/>
      <name val="Arial"/>
      <family val="0"/>
    </font>
    <font>
      <sz val="11"/>
      <color indexed="8"/>
      <name val="Calibri"/>
      <family val="2"/>
    </font>
    <font>
      <sz val="10"/>
      <name val="Arial Narrow"/>
      <family val="2"/>
    </font>
    <font>
      <b/>
      <sz val="10"/>
      <name val="Arial Narrow"/>
      <family val="2"/>
    </font>
    <font>
      <b/>
      <sz val="9"/>
      <name val="Arial"/>
      <family val="2"/>
    </font>
    <font>
      <sz val="9"/>
      <name val="Arial"/>
      <family val="2"/>
    </font>
    <font>
      <sz val="9"/>
      <name val="Arial Narrow"/>
      <family val="2"/>
    </font>
    <font>
      <b/>
      <sz val="9"/>
      <name val="Arial Narrow"/>
      <family val="2"/>
    </font>
    <font>
      <b/>
      <sz val="11"/>
      <name val="Arial Narrow"/>
      <family val="2"/>
    </font>
    <font>
      <sz val="8"/>
      <name val="Arial Narrow"/>
      <family val="2"/>
    </font>
    <font>
      <sz val="11"/>
      <name val="Arial"/>
      <family val="2"/>
    </font>
    <font>
      <sz val="11"/>
      <name val="Arial Narrow"/>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3"/>
      <color indexed="12"/>
      <name val="Arial"/>
      <family val="2"/>
    </font>
    <font>
      <u val="single"/>
      <sz val="13"/>
      <color indexed="20"/>
      <name val="Arial"/>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10"/>
      <name val="Arial Narrow"/>
      <family val="2"/>
    </font>
    <font>
      <b/>
      <sz val="12"/>
      <color indexed="56"/>
      <name val="Calibri"/>
      <family val="2"/>
    </font>
    <font>
      <b/>
      <sz val="12"/>
      <color indexed="8"/>
      <name val="Calibri"/>
      <family val="2"/>
    </font>
    <font>
      <b/>
      <sz val="9"/>
      <color indexed="9"/>
      <name val="Calibri"/>
      <family val="2"/>
    </font>
    <font>
      <sz val="12"/>
      <color indexed="56"/>
      <name val="Calibri"/>
      <family val="2"/>
    </font>
    <font>
      <b/>
      <sz val="9"/>
      <name val="Calibri"/>
      <family val="2"/>
    </font>
    <font>
      <b/>
      <sz val="9"/>
      <color indexed="8"/>
      <name val="Calibri"/>
      <family val="2"/>
    </font>
    <font>
      <sz val="9"/>
      <name val="Calibri"/>
      <family val="2"/>
    </font>
    <font>
      <sz val="9"/>
      <color indexed="8"/>
      <name val="Calibri"/>
      <family val="2"/>
    </font>
    <font>
      <b/>
      <sz val="9"/>
      <color indexed="10"/>
      <name val="Calibri"/>
      <family val="2"/>
    </font>
    <font>
      <sz val="12"/>
      <color indexed="8"/>
      <name val="Calibri"/>
      <family val="2"/>
    </font>
    <font>
      <b/>
      <sz val="9"/>
      <color indexed="8"/>
      <name val="Arial Narrow"/>
      <family val="2"/>
    </font>
    <font>
      <sz val="12"/>
      <name val="Calibri"/>
      <family val="2"/>
    </font>
    <font>
      <b/>
      <sz val="14"/>
      <color indexed="8"/>
      <name val="Calibri"/>
      <family val="2"/>
    </font>
    <font>
      <b/>
      <sz val="8"/>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3"/>
      <color theme="10"/>
      <name val="Arial"/>
      <family val="2"/>
    </font>
    <font>
      <u val="single"/>
      <sz val="13"/>
      <color theme="11"/>
      <name val="Arial"/>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004694"/>
      <name val="Calibri"/>
      <family val="2"/>
    </font>
    <font>
      <b/>
      <sz val="12"/>
      <color theme="1"/>
      <name val="Calibri"/>
      <family val="2"/>
    </font>
    <font>
      <b/>
      <sz val="12"/>
      <color rgb="FF003366"/>
      <name val="Calibri"/>
      <family val="2"/>
    </font>
    <font>
      <b/>
      <sz val="9"/>
      <color theme="0"/>
      <name val="Calibri"/>
      <family val="2"/>
    </font>
    <font>
      <sz val="12"/>
      <color rgb="FF003366"/>
      <name val="Calibri"/>
      <family val="2"/>
    </font>
    <font>
      <b/>
      <sz val="9"/>
      <color theme="1"/>
      <name val="Calibri"/>
      <family val="2"/>
    </font>
    <font>
      <sz val="9"/>
      <color theme="1"/>
      <name val="Calibri"/>
      <family val="2"/>
    </font>
    <font>
      <b/>
      <sz val="9"/>
      <color rgb="FFFF0000"/>
      <name val="Calibri"/>
      <family val="2"/>
    </font>
    <font>
      <sz val="12"/>
      <color theme="1"/>
      <name val="Calibri"/>
      <family val="2"/>
    </font>
    <font>
      <b/>
      <sz val="9"/>
      <color theme="1"/>
      <name val="Arial Narrow"/>
      <family val="2"/>
    </font>
    <font>
      <sz val="10"/>
      <color rgb="FFFF0000"/>
      <name val="Arial Narrow"/>
      <family val="2"/>
    </font>
    <font>
      <b/>
      <sz val="8"/>
      <color theme="0"/>
      <name val="Calibri"/>
      <family val="2"/>
    </font>
    <font>
      <b/>
      <sz val="14"/>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
      <patternFill patternType="solid">
        <fgColor rgb="FF004694"/>
        <bgColor indexed="64"/>
      </patternFill>
    </fill>
    <fill>
      <patternFill patternType="solid">
        <fgColor theme="1" tint="0.34999001026153564"/>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thin"/>
      <top/>
      <bottom style="thin"/>
    </border>
    <border>
      <left style="thin"/>
      <right style="medium"/>
      <top style="thin"/>
      <bottom style="thin"/>
    </border>
    <border>
      <left>
        <color indexed="63"/>
      </left>
      <right style="thin"/>
      <top style="thin"/>
      <bottom style="thin"/>
    </border>
    <border>
      <left style="medium"/>
      <right>
        <color indexed="63"/>
      </right>
      <top style="thin"/>
      <bottom>
        <color indexed="63"/>
      </bottom>
    </border>
    <border>
      <left/>
      <right/>
      <top style="thin"/>
      <bottom/>
    </border>
    <border>
      <left>
        <color indexed="63"/>
      </left>
      <right style="medium"/>
      <top>
        <color indexed="63"/>
      </top>
      <bottom>
        <color indexed="63"/>
      </bottom>
    </border>
    <border>
      <left style="thin"/>
      <right/>
      <top/>
      <bottom style="thin"/>
    </border>
    <border>
      <left/>
      <right style="thin"/>
      <top/>
      <bottom/>
    </border>
    <border>
      <left/>
      <right style="thin"/>
      <top/>
      <bottom style="thin"/>
    </border>
    <border>
      <left style="thin"/>
      <right/>
      <top/>
      <bottom/>
    </border>
    <border>
      <left style="thick">
        <color theme="0"/>
      </left>
      <right style="thick">
        <color theme="0"/>
      </right>
      <top style="thick">
        <color theme="0"/>
      </top>
      <bottom style="thick">
        <color theme="0"/>
      </bottom>
    </border>
    <border>
      <left style="medium"/>
      <right/>
      <top style="medium"/>
      <bottom style="medium"/>
    </border>
    <border>
      <left/>
      <right/>
      <top/>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color indexed="63"/>
      </right>
      <top style="thin"/>
      <bottom style="thin"/>
    </border>
    <border>
      <left>
        <color indexed="63"/>
      </left>
      <right>
        <color indexed="63"/>
      </right>
      <top style="thin"/>
      <bottom style="thin"/>
    </border>
    <border>
      <left style="medium"/>
      <right style="thin"/>
      <top/>
      <bottom/>
    </border>
    <border>
      <left style="medium"/>
      <right style="thin"/>
      <top/>
      <bottom style="thin"/>
    </border>
    <border>
      <left/>
      <right style="medium"/>
      <top style="thin"/>
      <bottom/>
    </border>
    <border>
      <left>
        <color indexed="63"/>
      </left>
      <right style="medium"/>
      <top>
        <color indexed="63"/>
      </top>
      <bottom style="thin"/>
    </border>
    <border>
      <left style="thin"/>
      <right style="thin"/>
      <top style="medium"/>
      <bottom/>
    </border>
    <border>
      <left style="thin"/>
      <right/>
      <top style="medium"/>
      <bottom/>
    </border>
    <border>
      <left/>
      <right style="medium"/>
      <top style="medium"/>
      <bottom/>
    </border>
    <border>
      <left/>
      <right/>
      <top style="medium"/>
      <bottom style="medium"/>
    </border>
    <border>
      <left/>
      <right style="medium"/>
      <top style="medium"/>
      <bottom style="medium"/>
    </border>
    <border>
      <left/>
      <right/>
      <top style="medium"/>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style="thin"/>
      <top style="medium"/>
      <bottom/>
    </border>
    <border>
      <left/>
      <right style="thin"/>
      <top style="medium"/>
      <bottom style="medium"/>
    </border>
    <border>
      <left style="thin"/>
      <right style="thin"/>
      <top style="medium"/>
      <bottom style="medium"/>
    </border>
    <border>
      <left style="thin"/>
      <right/>
      <top/>
      <bottom style="medium"/>
    </border>
    <border>
      <left/>
      <right style="medium"/>
      <top/>
      <bottom style="medium"/>
    </border>
    <border>
      <left style="medium"/>
      <right style="thin"/>
      <top style="medium"/>
      <bottom/>
    </border>
    <border>
      <left style="thin"/>
      <right style="thin"/>
      <top style="medium"/>
      <bottom style="thin"/>
    </border>
    <border>
      <left style="thin"/>
      <right style="medium"/>
      <top style="medium"/>
      <bottom style="thin"/>
    </border>
    <border>
      <left style="medium"/>
      <right style="thin"/>
      <top/>
      <bottom style="medium"/>
    </border>
    <border>
      <left/>
      <right/>
      <top/>
      <bottom style="medium"/>
    </border>
    <border>
      <left/>
      <right style="thin"/>
      <top/>
      <bottom style="medium"/>
    </border>
    <border>
      <left style="thin"/>
      <right style="thin"/>
      <top style="thin"/>
      <bottom style="medium"/>
    </border>
    <border>
      <left style="thin"/>
      <right/>
      <top style="thin"/>
      <bottom style="medium"/>
    </border>
    <border>
      <left>
        <color indexed="63"/>
      </left>
      <right>
        <color indexed="63"/>
      </right>
      <top>
        <color indexed="63"/>
      </top>
      <bottom style="thick">
        <color theme="0"/>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0" fontId="57" fillId="31" borderId="0" applyNumberFormat="0" applyBorder="0" applyAlignment="0" applyProtection="0"/>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175"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177" fontId="0" fillId="0" borderId="0" applyFont="0" applyFill="0" applyBorder="0" applyAlignment="0" applyProtection="0"/>
  </cellStyleXfs>
  <cellXfs count="420">
    <xf numFmtId="0" fontId="0" fillId="0" borderId="0" xfId="0" applyAlignment="1">
      <alignment/>
    </xf>
    <xf numFmtId="0" fontId="2" fillId="0" borderId="0" xfId="0" applyFont="1" applyBorder="1" applyAlignment="1">
      <alignment/>
    </xf>
    <xf numFmtId="177" fontId="2" fillId="0" borderId="0" xfId="72" applyFont="1" applyBorder="1" applyAlignment="1">
      <alignment/>
    </xf>
    <xf numFmtId="0" fontId="2" fillId="0" borderId="0" xfId="0" applyFont="1" applyBorder="1" applyAlignment="1">
      <alignment vertical="center"/>
    </xf>
    <xf numFmtId="0" fontId="3" fillId="0" borderId="0" xfId="0" applyFont="1" applyBorder="1" applyAlignment="1">
      <alignment vertical="center"/>
    </xf>
    <xf numFmtId="4" fontId="2" fillId="0" borderId="0" xfId="0" applyNumberFormat="1" applyFont="1" applyBorder="1" applyAlignment="1">
      <alignment vertical="center"/>
    </xf>
    <xf numFmtId="177" fontId="2" fillId="0" borderId="0" xfId="0" applyNumberFormat="1" applyFont="1" applyBorder="1" applyAlignment="1">
      <alignment vertical="center"/>
    </xf>
    <xf numFmtId="177" fontId="2" fillId="0" borderId="0" xfId="0" applyNumberFormat="1" applyFont="1" applyBorder="1" applyAlignment="1">
      <alignment/>
    </xf>
    <xf numFmtId="2" fontId="2" fillId="0" borderId="0" xfId="0" applyNumberFormat="1" applyFont="1" applyBorder="1" applyAlignment="1">
      <alignment/>
    </xf>
    <xf numFmtId="43" fontId="2" fillId="0" borderId="0" xfId="0" applyNumberFormat="1" applyFont="1" applyBorder="1" applyAlignment="1">
      <alignment/>
    </xf>
    <xf numFmtId="43" fontId="3" fillId="0" borderId="0" xfId="0" applyNumberFormat="1" applyFont="1" applyBorder="1" applyAlignment="1">
      <alignment/>
    </xf>
    <xf numFmtId="0" fontId="2" fillId="0" borderId="0" xfId="0" applyFont="1" applyBorder="1" applyAlignment="1">
      <alignment horizontal="right" vertical="center"/>
    </xf>
    <xf numFmtId="4" fontId="2" fillId="0" borderId="0" xfId="0" applyNumberFormat="1" applyFont="1" applyAlignment="1">
      <alignment/>
    </xf>
    <xf numFmtId="0" fontId="6" fillId="0" borderId="10" xfId="0" applyFont="1" applyFill="1" applyBorder="1" applyAlignment="1">
      <alignment horizontal="center" vertical="center"/>
    </xf>
    <xf numFmtId="0" fontId="6" fillId="0" borderId="11" xfId="0" applyFont="1" applyBorder="1" applyAlignment="1">
      <alignment horizontal="left" vertical="center" wrapText="1"/>
    </xf>
    <xf numFmtId="4" fontId="6" fillId="0" borderId="11" xfId="0" applyNumberFormat="1" applyFont="1" applyBorder="1" applyAlignment="1">
      <alignment horizontal="center" vertical="center"/>
    </xf>
    <xf numFmtId="177" fontId="6" fillId="0" borderId="12" xfId="72" applyFont="1" applyFill="1" applyBorder="1" applyAlignment="1">
      <alignment horizontal="right" vertical="center"/>
    </xf>
    <xf numFmtId="0" fontId="6" fillId="0" borderId="11" xfId="0" applyFont="1" applyFill="1" applyBorder="1" applyAlignment="1">
      <alignment horizontal="center" vertical="center"/>
    </xf>
    <xf numFmtId="177" fontId="6" fillId="0" borderId="13" xfId="72" applyFont="1" applyFill="1" applyBorder="1" applyAlignment="1">
      <alignment vertical="center"/>
    </xf>
    <xf numFmtId="177" fontId="6" fillId="0" borderId="11" xfId="72" applyFont="1" applyFill="1" applyBorder="1" applyAlignment="1">
      <alignment vertical="center"/>
    </xf>
    <xf numFmtId="0" fontId="5" fillId="0" borderId="0" xfId="0" applyFont="1" applyBorder="1" applyAlignment="1">
      <alignment/>
    </xf>
    <xf numFmtId="0" fontId="4" fillId="0" borderId="0" xfId="0" applyFont="1" applyBorder="1" applyAlignment="1">
      <alignment horizontal="right" vertical="justify"/>
    </xf>
    <xf numFmtId="43" fontId="5" fillId="0" borderId="0" xfId="0" applyNumberFormat="1" applyFont="1" applyBorder="1" applyAlignment="1">
      <alignment/>
    </xf>
    <xf numFmtId="4" fontId="4" fillId="0" borderId="0" xfId="0" applyNumberFormat="1" applyFont="1" applyBorder="1" applyAlignment="1">
      <alignment/>
    </xf>
    <xf numFmtId="0" fontId="6" fillId="0" borderId="0" xfId="0" applyFont="1" applyBorder="1" applyAlignment="1">
      <alignmen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7" fillId="0" borderId="16" xfId="0" applyFont="1" applyBorder="1" applyAlignment="1">
      <alignment horizontal="right" wrapText="1"/>
    </xf>
    <xf numFmtId="177" fontId="7" fillId="0" borderId="17" xfId="72"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43" fontId="7" fillId="0" borderId="0" xfId="0" applyNumberFormat="1" applyFont="1" applyBorder="1" applyAlignment="1">
      <alignment vertical="center"/>
    </xf>
    <xf numFmtId="177" fontId="7" fillId="0" borderId="0" xfId="72" applyNumberFormat="1" applyFont="1" applyBorder="1" applyAlignment="1">
      <alignment horizontal="center" vertical="center"/>
    </xf>
    <xf numFmtId="4" fontId="7" fillId="0" borderId="0" xfId="0" applyNumberFormat="1" applyFont="1" applyBorder="1" applyAlignment="1">
      <alignment horizontal="left" vertical="center"/>
    </xf>
    <xf numFmtId="0" fontId="2" fillId="0" borderId="0" xfId="0" applyFont="1" applyAlignment="1">
      <alignment/>
    </xf>
    <xf numFmtId="0" fontId="3" fillId="0" borderId="0" xfId="0" applyFont="1" applyAlignment="1">
      <alignment vertical="center"/>
    </xf>
    <xf numFmtId="4" fontId="9" fillId="0" borderId="12" xfId="0" applyNumberFormat="1" applyFont="1" applyBorder="1" applyAlignment="1">
      <alignment vertical="center"/>
    </xf>
    <xf numFmtId="4" fontId="9" fillId="0" borderId="18" xfId="0" applyNumberFormat="1" applyFont="1" applyBorder="1" applyAlignment="1">
      <alignment vertical="center"/>
    </xf>
    <xf numFmtId="0" fontId="9" fillId="33" borderId="19" xfId="0" applyFont="1" applyFill="1" applyBorder="1" applyAlignment="1">
      <alignment vertical="center"/>
    </xf>
    <xf numFmtId="177" fontId="2" fillId="0" borderId="0" xfId="72" applyFont="1" applyAlignment="1">
      <alignment/>
    </xf>
    <xf numFmtId="177" fontId="9" fillId="0" borderId="0" xfId="0" applyNumberFormat="1" applyFont="1" applyAlignment="1">
      <alignment/>
    </xf>
    <xf numFmtId="9" fontId="9" fillId="0" borderId="19" xfId="61" applyFont="1" applyBorder="1" applyAlignment="1">
      <alignment vertical="center"/>
    </xf>
    <xf numFmtId="176" fontId="9" fillId="0" borderId="20" xfId="47" applyFont="1" applyBorder="1" applyAlignment="1">
      <alignment vertical="center"/>
    </xf>
    <xf numFmtId="0" fontId="0" fillId="34" borderId="0" xfId="0" applyFill="1" applyAlignment="1">
      <alignment vertical="center"/>
    </xf>
    <xf numFmtId="0" fontId="0" fillId="0" borderId="21" xfId="0" applyBorder="1" applyAlignment="1">
      <alignment/>
    </xf>
    <xf numFmtId="0" fontId="0" fillId="0" borderId="19" xfId="0" applyBorder="1" applyAlignment="1">
      <alignment/>
    </xf>
    <xf numFmtId="0" fontId="51" fillId="35" borderId="22" xfId="0" applyFont="1" applyFill="1" applyBorder="1" applyAlignment="1">
      <alignment vertical="center"/>
    </xf>
    <xf numFmtId="0" fontId="51" fillId="35" borderId="22" xfId="0" applyFont="1" applyFill="1" applyBorder="1" applyAlignment="1">
      <alignment horizontal="center" vertical="center"/>
    </xf>
    <xf numFmtId="0" fontId="67" fillId="34" borderId="23" xfId="0" applyFont="1" applyFill="1" applyBorder="1" applyAlignment="1">
      <alignment horizontal="right" vertical="center"/>
    </xf>
    <xf numFmtId="0" fontId="68" fillId="34" borderId="24" xfId="0" applyFont="1" applyFill="1" applyBorder="1" applyAlignment="1">
      <alignment vertical="center"/>
    </xf>
    <xf numFmtId="10" fontId="68" fillId="34" borderId="24" xfId="61" applyNumberFormat="1" applyFont="1" applyFill="1" applyBorder="1" applyAlignment="1">
      <alignment horizontal="center" vertical="center" wrapText="1"/>
    </xf>
    <xf numFmtId="0" fontId="69" fillId="34" borderId="0" xfId="0" applyFont="1" applyFill="1" applyAlignment="1">
      <alignment vertical="center"/>
    </xf>
    <xf numFmtId="0" fontId="69" fillId="34" borderId="0" xfId="0" applyFont="1" applyFill="1" applyAlignment="1">
      <alignment vertical="center" wrapText="1"/>
    </xf>
    <xf numFmtId="0" fontId="69" fillId="34" borderId="0" xfId="72" applyNumberFormat="1" applyFont="1" applyFill="1" applyBorder="1" applyAlignment="1">
      <alignment horizontal="center" vertical="center" wrapText="1"/>
    </xf>
    <xf numFmtId="43" fontId="69" fillId="34" borderId="0" xfId="0" applyNumberFormat="1" applyFont="1" applyFill="1" applyAlignment="1">
      <alignment horizontal="center"/>
    </xf>
    <xf numFmtId="10" fontId="69" fillId="34" borderId="0" xfId="61" applyNumberFormat="1" applyFont="1" applyFill="1" applyBorder="1" applyAlignment="1">
      <alignment vertical="center" wrapText="1"/>
    </xf>
    <xf numFmtId="0" fontId="70" fillId="36" borderId="25" xfId="56" applyFont="1" applyFill="1" applyBorder="1" applyAlignment="1" applyProtection="1">
      <alignment horizontal="center" vertical="center"/>
      <protection hidden="1"/>
    </xf>
    <xf numFmtId="177" fontId="70" fillId="36" borderId="26" xfId="72" applyFont="1" applyFill="1" applyBorder="1" applyAlignment="1">
      <alignment horizontal="center" vertical="center"/>
    </xf>
    <xf numFmtId="10" fontId="70" fillId="36" borderId="26" xfId="61" applyNumberFormat="1" applyFont="1" applyFill="1" applyBorder="1" applyAlignment="1">
      <alignment horizontal="center" vertical="center"/>
    </xf>
    <xf numFmtId="0" fontId="71" fillId="34" borderId="0" xfId="0" applyFont="1" applyFill="1" applyAlignment="1">
      <alignment vertical="center"/>
    </xf>
    <xf numFmtId="0" fontId="71" fillId="34" borderId="0" xfId="0" applyFont="1" applyFill="1" applyAlignment="1">
      <alignment vertical="center" wrapText="1"/>
    </xf>
    <xf numFmtId="0" fontId="71" fillId="34" borderId="0" xfId="72" applyNumberFormat="1" applyFont="1" applyFill="1" applyBorder="1" applyAlignment="1">
      <alignment horizontal="center" vertical="center" wrapText="1"/>
    </xf>
    <xf numFmtId="43" fontId="71" fillId="34" borderId="0" xfId="0" applyNumberFormat="1" applyFont="1" applyFill="1" applyAlignment="1">
      <alignment horizontal="center"/>
    </xf>
    <xf numFmtId="10" fontId="71" fillId="34" borderId="0" xfId="61" applyNumberFormat="1" applyFont="1" applyFill="1" applyBorder="1" applyAlignment="1">
      <alignment vertical="center" wrapText="1"/>
    </xf>
    <xf numFmtId="0" fontId="37" fillId="37" borderId="11" xfId="56" applyFont="1" applyFill="1" applyBorder="1" applyAlignment="1" applyProtection="1">
      <alignment horizontal="center" vertical="center"/>
      <protection hidden="1"/>
    </xf>
    <xf numFmtId="0" fontId="37" fillId="37" borderId="11" xfId="56" applyFont="1" applyFill="1" applyBorder="1" applyAlignment="1" applyProtection="1">
      <alignment horizontal="left" vertical="center"/>
      <protection hidden="1"/>
    </xf>
    <xf numFmtId="176" fontId="72" fillId="37" borderId="11" xfId="47" applyFont="1" applyFill="1" applyBorder="1" applyAlignment="1">
      <alignment vertical="center"/>
    </xf>
    <xf numFmtId="10" fontId="72" fillId="38" borderId="11" xfId="61" applyNumberFormat="1" applyFont="1" applyFill="1" applyBorder="1" applyAlignment="1">
      <alignment vertical="center"/>
    </xf>
    <xf numFmtId="10" fontId="72" fillId="38" borderId="12" xfId="61" applyNumberFormat="1" applyFont="1" applyFill="1" applyBorder="1" applyAlignment="1">
      <alignment vertical="center"/>
    </xf>
    <xf numFmtId="0" fontId="72" fillId="37" borderId="11" xfId="61" applyNumberFormat="1" applyFont="1" applyFill="1" applyBorder="1" applyAlignment="1">
      <alignment horizontal="center" vertical="center"/>
    </xf>
    <xf numFmtId="10" fontId="37" fillId="37" borderId="11" xfId="72" applyNumberFormat="1" applyFont="1" applyFill="1" applyBorder="1" applyAlignment="1" applyProtection="1">
      <alignment horizontal="center" vertical="center"/>
      <protection hidden="1"/>
    </xf>
    <xf numFmtId="0" fontId="71" fillId="34" borderId="24" xfId="0" applyFont="1" applyFill="1" applyBorder="1" applyAlignment="1">
      <alignment vertical="center"/>
    </xf>
    <xf numFmtId="10" fontId="71" fillId="34" borderId="24" xfId="61" applyNumberFormat="1" applyFont="1" applyFill="1" applyBorder="1" applyAlignment="1">
      <alignment horizontal="center" vertical="center" wrapText="1"/>
    </xf>
    <xf numFmtId="10" fontId="37" fillId="37" borderId="12" xfId="72" applyNumberFormat="1" applyFont="1" applyFill="1" applyBorder="1" applyAlignment="1" applyProtection="1">
      <alignment horizontal="right" vertical="center"/>
      <protection hidden="1"/>
    </xf>
    <xf numFmtId="2" fontId="39" fillId="34" borderId="27" xfId="56" applyNumberFormat="1" applyFont="1" applyFill="1" applyBorder="1" applyAlignment="1" applyProtection="1">
      <alignment vertical="center"/>
      <protection hidden="1"/>
    </xf>
    <xf numFmtId="10" fontId="37" fillId="34" borderId="16" xfId="61" applyNumberFormat="1" applyFont="1" applyFill="1" applyBorder="1" applyAlignment="1" applyProtection="1">
      <alignment horizontal="center" vertical="center"/>
      <protection hidden="1"/>
    </xf>
    <xf numFmtId="10" fontId="37" fillId="34" borderId="28" xfId="61" applyNumberFormat="1" applyFont="1" applyFill="1" applyBorder="1" applyAlignment="1" applyProtection="1">
      <alignment horizontal="center" vertical="center"/>
      <protection hidden="1"/>
    </xf>
    <xf numFmtId="0" fontId="39" fillId="34" borderId="11" xfId="56" applyFont="1" applyFill="1" applyBorder="1" applyAlignment="1" applyProtection="1">
      <alignment horizontal="center" vertical="center"/>
      <protection hidden="1"/>
    </xf>
    <xf numFmtId="10" fontId="72" fillId="38" borderId="29" xfId="61" applyNumberFormat="1" applyFont="1" applyFill="1" applyBorder="1" applyAlignment="1">
      <alignment vertical="center"/>
    </xf>
    <xf numFmtId="2" fontId="39" fillId="34" borderId="21" xfId="56" applyNumberFormat="1" applyFont="1" applyFill="1" applyBorder="1" applyAlignment="1" applyProtection="1">
      <alignment vertical="center"/>
      <protection hidden="1"/>
    </xf>
    <xf numFmtId="10" fontId="39" fillId="34" borderId="0" xfId="56" applyNumberFormat="1" applyFont="1" applyFill="1" applyAlignment="1" applyProtection="1">
      <alignment horizontal="left" vertical="center"/>
      <protection hidden="1"/>
    </xf>
    <xf numFmtId="2" fontId="39" fillId="34" borderId="19" xfId="56" applyNumberFormat="1" applyFont="1" applyFill="1" applyBorder="1" applyAlignment="1" applyProtection="1">
      <alignment vertical="center"/>
      <protection hidden="1"/>
    </xf>
    <xf numFmtId="10" fontId="39" fillId="34" borderId="11" xfId="56" applyNumberFormat="1" applyFont="1" applyFill="1" applyBorder="1" applyAlignment="1" applyProtection="1">
      <alignment horizontal="left" vertical="center"/>
      <protection hidden="1"/>
    </xf>
    <xf numFmtId="2" fontId="39" fillId="34" borderId="18" xfId="56" applyNumberFormat="1" applyFont="1" applyFill="1" applyBorder="1" applyAlignment="1" applyProtection="1">
      <alignment vertical="center"/>
      <protection hidden="1"/>
    </xf>
    <xf numFmtId="10" fontId="39" fillId="34" borderId="24" xfId="56" applyNumberFormat="1" applyFont="1" applyFill="1" applyBorder="1" applyAlignment="1" applyProtection="1">
      <alignment horizontal="left" vertical="center"/>
      <protection hidden="1"/>
    </xf>
    <xf numFmtId="2" fontId="39" fillId="34" borderId="20" xfId="56" applyNumberFormat="1" applyFont="1" applyFill="1" applyBorder="1" applyAlignment="1" applyProtection="1">
      <alignment vertical="center"/>
      <protection hidden="1"/>
    </xf>
    <xf numFmtId="0" fontId="39" fillId="0" borderId="26" xfId="56" applyFont="1" applyBorder="1" applyAlignment="1" applyProtection="1">
      <alignment horizontal="center" vertical="center"/>
      <protection hidden="1"/>
    </xf>
    <xf numFmtId="10" fontId="72" fillId="37" borderId="29" xfId="61" applyNumberFormat="1" applyFont="1" applyFill="1" applyBorder="1" applyAlignment="1">
      <alignment vertical="center"/>
    </xf>
    <xf numFmtId="0" fontId="37" fillId="0" borderId="11" xfId="56" applyFont="1" applyBorder="1" applyAlignment="1" applyProtection="1">
      <alignment vertical="center"/>
      <protection hidden="1"/>
    </xf>
    <xf numFmtId="176" fontId="37" fillId="37" borderId="14" xfId="47" applyFont="1" applyFill="1" applyBorder="1" applyAlignment="1" applyProtection="1">
      <alignment vertical="center"/>
      <protection hidden="1"/>
    </xf>
    <xf numFmtId="0" fontId="37" fillId="37" borderId="30" xfId="56" applyFont="1" applyFill="1" applyBorder="1" applyAlignment="1" applyProtection="1">
      <alignment vertical="center"/>
      <protection hidden="1"/>
    </xf>
    <xf numFmtId="44" fontId="37" fillId="37" borderId="30" xfId="56" applyNumberFormat="1" applyFont="1" applyFill="1" applyBorder="1" applyAlignment="1" applyProtection="1">
      <alignment vertical="center"/>
      <protection hidden="1"/>
    </xf>
    <xf numFmtId="169" fontId="37" fillId="37" borderId="14" xfId="56" applyNumberFormat="1" applyFont="1" applyFill="1" applyBorder="1" applyAlignment="1" applyProtection="1">
      <alignment horizontal="left" vertical="center"/>
      <protection hidden="1"/>
    </xf>
    <xf numFmtId="0" fontId="37" fillId="37" borderId="16" xfId="56" applyFont="1" applyFill="1" applyBorder="1" applyAlignment="1" applyProtection="1">
      <alignment horizontal="left" vertical="center"/>
      <protection hidden="1"/>
    </xf>
    <xf numFmtId="44" fontId="37" fillId="37" borderId="30" xfId="56" applyNumberFormat="1" applyFont="1" applyFill="1" applyBorder="1" applyAlignment="1" applyProtection="1">
      <alignment horizontal="left" vertical="center"/>
      <protection hidden="1"/>
    </xf>
    <xf numFmtId="0" fontId="72" fillId="7" borderId="12" xfId="61" applyNumberFormat="1" applyFont="1" applyFill="1" applyBorder="1" applyAlignment="1">
      <alignment horizontal="center" vertical="center"/>
    </xf>
    <xf numFmtId="10" fontId="37" fillId="7" borderId="12" xfId="72" applyNumberFormat="1" applyFont="1" applyFill="1" applyBorder="1" applyAlignment="1" applyProtection="1">
      <alignment horizontal="center" vertical="center"/>
      <protection hidden="1"/>
    </xf>
    <xf numFmtId="0" fontId="73" fillId="0" borderId="0" xfId="0" applyFont="1" applyAlignment="1">
      <alignment vertical="center"/>
    </xf>
    <xf numFmtId="10" fontId="72" fillId="19" borderId="11" xfId="61" applyNumberFormat="1" applyFont="1" applyFill="1" applyBorder="1" applyAlignment="1">
      <alignment vertical="center"/>
    </xf>
    <xf numFmtId="0" fontId="74" fillId="19" borderId="12" xfId="61" applyNumberFormat="1" applyFont="1" applyFill="1" applyBorder="1" applyAlignment="1">
      <alignment horizontal="center" vertical="center"/>
    </xf>
    <xf numFmtId="0" fontId="72" fillId="19" borderId="12" xfId="61" applyNumberFormat="1" applyFont="1" applyFill="1" applyBorder="1" applyAlignment="1">
      <alignment horizontal="center" vertical="center"/>
    </xf>
    <xf numFmtId="10" fontId="37" fillId="19" borderId="12" xfId="72" applyNumberFormat="1" applyFont="1" applyFill="1" applyBorder="1" applyAlignment="1" applyProtection="1">
      <alignment horizontal="center" vertical="center"/>
      <protection hidden="1"/>
    </xf>
    <xf numFmtId="10" fontId="51" fillId="35" borderId="22" xfId="61" applyNumberFormat="1" applyFont="1" applyFill="1" applyBorder="1" applyAlignment="1">
      <alignment horizontal="center" vertical="center"/>
    </xf>
    <xf numFmtId="0" fontId="66" fillId="34" borderId="0" xfId="0" applyFont="1" applyFill="1" applyAlignment="1">
      <alignment vertical="center"/>
    </xf>
    <xf numFmtId="0" fontId="0" fillId="34" borderId="0" xfId="0" applyFill="1" applyAlignment="1">
      <alignment horizontal="right" vertical="center"/>
    </xf>
    <xf numFmtId="0" fontId="0" fillId="34" borderId="0" xfId="0" applyFill="1" applyAlignment="1">
      <alignment horizontal="left" vertical="center"/>
    </xf>
    <xf numFmtId="0" fontId="75" fillId="34" borderId="0" xfId="0" applyFont="1" applyFill="1" applyAlignment="1">
      <alignment vertical="center"/>
    </xf>
    <xf numFmtId="0" fontId="68" fillId="34" borderId="0" xfId="0" applyFont="1" applyFill="1" applyAlignment="1">
      <alignment vertical="center"/>
    </xf>
    <xf numFmtId="0" fontId="75" fillId="34" borderId="0" xfId="0" applyFont="1" applyFill="1" applyAlignment="1">
      <alignment horizontal="right" vertical="center"/>
    </xf>
    <xf numFmtId="0" fontId="75" fillId="34" borderId="0" xfId="0" applyFont="1" applyFill="1" applyAlignment="1">
      <alignment horizontal="left" vertical="center"/>
    </xf>
    <xf numFmtId="0" fontId="0" fillId="0" borderId="18" xfId="0" applyBorder="1" applyAlignment="1">
      <alignment/>
    </xf>
    <xf numFmtId="0" fontId="0" fillId="0" borderId="24" xfId="0" applyBorder="1" applyAlignment="1">
      <alignment/>
    </xf>
    <xf numFmtId="0" fontId="0" fillId="0" borderId="20" xfId="0" applyBorder="1" applyAlignment="1">
      <alignment/>
    </xf>
    <xf numFmtId="184" fontId="2" fillId="0" borderId="0" xfId="72" applyNumberFormat="1" applyFont="1" applyBorder="1" applyAlignment="1">
      <alignment vertical="center"/>
    </xf>
    <xf numFmtId="176" fontId="6" fillId="0" borderId="12" xfId="47" applyFont="1" applyFill="1" applyBorder="1" applyAlignment="1">
      <alignment vertical="center"/>
    </xf>
    <xf numFmtId="176" fontId="6" fillId="0" borderId="12" xfId="47" applyFont="1" applyFill="1" applyBorder="1" applyAlignment="1">
      <alignment horizontal="right" vertical="center"/>
    </xf>
    <xf numFmtId="176" fontId="6" fillId="0" borderId="13" xfId="47" applyFont="1" applyFill="1" applyBorder="1" applyAlignment="1">
      <alignment horizontal="right" vertical="center"/>
    </xf>
    <xf numFmtId="176" fontId="6" fillId="0" borderId="11" xfId="47" applyFont="1" applyFill="1" applyBorder="1" applyAlignment="1">
      <alignment vertical="center"/>
    </xf>
    <xf numFmtId="49" fontId="6" fillId="0" borderId="14"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5" fillId="0" borderId="0" xfId="0" applyNumberFormat="1" applyFont="1" applyBorder="1" applyAlignment="1">
      <alignment/>
    </xf>
    <xf numFmtId="49" fontId="2" fillId="0" borderId="0" xfId="0" applyNumberFormat="1" applyFont="1" applyBorder="1" applyAlignment="1">
      <alignment/>
    </xf>
    <xf numFmtId="188" fontId="2" fillId="0" borderId="0" xfId="0" applyNumberFormat="1" applyFont="1" applyBorder="1" applyAlignment="1">
      <alignment horizontal="left" vertical="center"/>
    </xf>
    <xf numFmtId="0" fontId="2" fillId="0" borderId="0" xfId="0" applyFont="1" applyAlignment="1">
      <alignment vertical="center"/>
    </xf>
    <xf numFmtId="0" fontId="76" fillId="0" borderId="0" xfId="0" applyFont="1" applyAlignment="1">
      <alignment vertical="center"/>
    </xf>
    <xf numFmtId="0" fontId="3" fillId="0" borderId="0" xfId="0" applyFont="1" applyAlignment="1">
      <alignment vertical="center" wrapText="1"/>
    </xf>
    <xf numFmtId="0" fontId="9" fillId="0" borderId="25" xfId="0" applyFont="1" applyBorder="1" applyAlignment="1">
      <alignment vertical="center"/>
    </xf>
    <xf numFmtId="0" fontId="9" fillId="0" borderId="21" xfId="0" applyFont="1" applyBorder="1" applyAlignment="1">
      <alignment vertical="center"/>
    </xf>
    <xf numFmtId="0" fontId="9" fillId="39" borderId="25" xfId="0" applyFont="1" applyFill="1" applyBorder="1" applyAlignment="1">
      <alignment vertical="center"/>
    </xf>
    <xf numFmtId="0" fontId="9" fillId="39" borderId="21" xfId="0" applyFont="1" applyFill="1" applyBorder="1" applyAlignment="1">
      <alignment vertical="center"/>
    </xf>
    <xf numFmtId="177" fontId="6" fillId="0" borderId="0" xfId="72" applyFont="1" applyAlignment="1">
      <alignment vertical="center"/>
    </xf>
    <xf numFmtId="0" fontId="6" fillId="0" borderId="0" xfId="0" applyFont="1" applyAlignment="1">
      <alignment vertical="center"/>
    </xf>
    <xf numFmtId="4" fontId="6" fillId="0" borderId="0" xfId="0" applyNumberFormat="1" applyFont="1" applyAlignment="1">
      <alignment vertical="center"/>
    </xf>
    <xf numFmtId="43" fontId="6" fillId="0" borderId="0" xfId="0" applyNumberFormat="1" applyFont="1" applyAlignment="1">
      <alignment vertical="center"/>
    </xf>
    <xf numFmtId="2" fontId="2" fillId="0" borderId="0" xfId="0" applyNumberFormat="1" applyFont="1" applyBorder="1" applyAlignment="1">
      <alignment vertical="center"/>
    </xf>
    <xf numFmtId="0" fontId="10" fillId="34" borderId="0" xfId="57" applyFont="1" applyFill="1" applyBorder="1" applyAlignment="1">
      <alignment horizontal="center" vertical="center" wrapText="1"/>
      <protection/>
    </xf>
    <xf numFmtId="0" fontId="10" fillId="0" borderId="0" xfId="54" applyFont="1" applyBorder="1" applyAlignment="1">
      <alignment horizontal="left" vertical="center" wrapText="1"/>
      <protection/>
    </xf>
    <xf numFmtId="190" fontId="10" fillId="0" borderId="0" xfId="51" applyFont="1" applyFill="1" applyBorder="1" applyAlignment="1">
      <alignment horizontal="center" vertical="center" wrapText="1"/>
    </xf>
    <xf numFmtId="190" fontId="10" fillId="34" borderId="0" xfId="51" applyFont="1" applyFill="1" applyBorder="1" applyAlignment="1">
      <alignment horizontal="center" vertical="center"/>
    </xf>
    <xf numFmtId="49" fontId="3" fillId="0" borderId="0" xfId="0" applyNumberFormat="1" applyFont="1" applyAlignment="1">
      <alignment vertical="center"/>
    </xf>
    <xf numFmtId="49" fontId="76"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49" fontId="2" fillId="0" borderId="0" xfId="0" applyNumberFormat="1" applyFont="1" applyAlignment="1">
      <alignment/>
    </xf>
    <xf numFmtId="49" fontId="10" fillId="0" borderId="0" xfId="58" applyNumberFormat="1" applyFont="1" applyBorder="1" applyAlignment="1">
      <alignment horizontal="center" vertical="center"/>
      <protection/>
    </xf>
    <xf numFmtId="0" fontId="7" fillId="0" borderId="0" xfId="0" applyFont="1" applyAlignment="1">
      <alignment vertical="center"/>
    </xf>
    <xf numFmtId="0" fontId="8" fillId="0" borderId="11" xfId="55" applyFont="1" applyBorder="1" applyAlignment="1">
      <alignment horizontal="center" vertical="center" wrapText="1"/>
      <protection/>
    </xf>
    <xf numFmtId="0" fontId="11" fillId="0" borderId="11" xfId="55" applyFont="1" applyBorder="1" applyAlignment="1">
      <alignment horizontal="left" vertical="center"/>
      <protection/>
    </xf>
    <xf numFmtId="10" fontId="11" fillId="0" borderId="11" xfId="55" applyNumberFormat="1" applyFont="1" applyBorder="1" applyAlignment="1">
      <alignment vertical="center"/>
      <protection/>
    </xf>
    <xf numFmtId="0" fontId="8" fillId="10" borderId="11" xfId="55" applyFont="1" applyFill="1" applyBorder="1" applyAlignment="1">
      <alignment horizontal="center" vertical="center"/>
      <protection/>
    </xf>
    <xf numFmtId="10" fontId="8" fillId="10" borderId="11" xfId="55" applyNumberFormat="1" applyFont="1" applyFill="1" applyBorder="1" applyAlignment="1">
      <alignment vertical="center"/>
      <protection/>
    </xf>
    <xf numFmtId="10" fontId="11" fillId="0" borderId="11" xfId="55" applyNumberFormat="1" applyFont="1" applyBorder="1" applyAlignment="1">
      <alignment horizontal="center" vertical="center"/>
      <protection/>
    </xf>
    <xf numFmtId="0" fontId="11" fillId="0" borderId="11" xfId="55" applyFont="1" applyBorder="1" applyAlignment="1">
      <alignment horizontal="left" vertical="center" wrapText="1"/>
      <protection/>
    </xf>
    <xf numFmtId="0" fontId="8" fillId="10" borderId="11" xfId="55" applyFont="1" applyFill="1" applyBorder="1" applyAlignment="1">
      <alignment vertical="center"/>
      <protection/>
    </xf>
    <xf numFmtId="0" fontId="2" fillId="25" borderId="0" xfId="0" applyFont="1" applyFill="1" applyBorder="1" applyAlignment="1">
      <alignment vertical="center"/>
    </xf>
    <xf numFmtId="0" fontId="2" fillId="25" borderId="0" xfId="0" applyFont="1" applyFill="1" applyBorder="1" applyAlignment="1">
      <alignment horizontal="center" vertical="center"/>
    </xf>
    <xf numFmtId="0" fontId="7" fillId="0" borderId="0" xfId="0" applyFont="1" applyFill="1" applyBorder="1" applyAlignment="1">
      <alignment vertical="center"/>
    </xf>
    <xf numFmtId="0" fontId="0" fillId="0" borderId="0" xfId="0" applyAlignment="1">
      <alignment horizontal="right"/>
    </xf>
    <xf numFmtId="10" fontId="7" fillId="0" borderId="0" xfId="0" applyNumberFormat="1" applyFont="1" applyBorder="1" applyAlignment="1">
      <alignment horizontal="left" vertical="center"/>
    </xf>
    <xf numFmtId="0" fontId="7" fillId="0" borderId="0" xfId="0" applyFont="1" applyBorder="1" applyAlignment="1">
      <alignment horizontal="right" vertical="center"/>
    </xf>
    <xf numFmtId="9" fontId="2" fillId="0" borderId="0" xfId="0" applyNumberFormat="1" applyFont="1" applyAlignment="1">
      <alignment vertical="center"/>
    </xf>
    <xf numFmtId="49" fontId="4" fillId="0" borderId="11" xfId="53" applyNumberFormat="1" applyFont="1" applyFill="1" applyBorder="1" applyAlignment="1">
      <alignment horizontal="center" vertical="center"/>
      <protection/>
    </xf>
    <xf numFmtId="0" fontId="4" fillId="10" borderId="11" xfId="57" applyFont="1" applyFill="1" applyBorder="1" applyAlignment="1">
      <alignment horizontal="center" vertical="center"/>
      <protection/>
    </xf>
    <xf numFmtId="0" fontId="0" fillId="0" borderId="11" xfId="57" applyFont="1" applyFill="1" applyBorder="1" applyAlignment="1">
      <alignment horizontal="center" vertical="center" wrapText="1"/>
      <protection/>
    </xf>
    <xf numFmtId="49" fontId="0" fillId="0" borderId="11" xfId="53" applyNumberFormat="1" applyFont="1" applyFill="1" applyBorder="1" applyAlignment="1">
      <alignment horizontal="center" vertical="center"/>
      <protection/>
    </xf>
    <xf numFmtId="0" fontId="0" fillId="0" borderId="11" xfId="54" applyFont="1" applyFill="1" applyBorder="1" applyAlignment="1">
      <alignment horizontal="left" vertical="center" wrapText="1"/>
      <protection/>
    </xf>
    <xf numFmtId="0" fontId="0" fillId="0" borderId="11" xfId="57" applyNumberFormat="1" applyFont="1" applyFill="1" applyBorder="1" applyAlignment="1">
      <alignment horizontal="center" vertical="center"/>
      <protection/>
    </xf>
    <xf numFmtId="189" fontId="0" fillId="0" borderId="11" xfId="57" applyNumberFormat="1" applyFont="1" applyFill="1" applyBorder="1" applyAlignment="1">
      <alignment horizontal="center" vertical="center" wrapText="1"/>
      <protection/>
    </xf>
    <xf numFmtId="190" fontId="0" fillId="0" borderId="11" xfId="50" applyFont="1" applyFill="1" applyBorder="1" applyAlignment="1">
      <alignment horizontal="center" vertical="center"/>
    </xf>
    <xf numFmtId="4" fontId="4" fillId="0" borderId="11" xfId="53" applyNumberFormat="1" applyFont="1" applyFill="1" applyBorder="1" applyAlignment="1">
      <alignment horizontal="center" vertical="center"/>
      <protection/>
    </xf>
    <xf numFmtId="0" fontId="0" fillId="0" borderId="11" xfId="0" applyFont="1" applyBorder="1" applyAlignment="1">
      <alignment horizontal="right"/>
    </xf>
    <xf numFmtId="0" fontId="0" fillId="0" borderId="11" xfId="0" applyFont="1" applyBorder="1" applyAlignment="1">
      <alignment/>
    </xf>
    <xf numFmtId="0" fontId="77" fillId="0" borderId="0" xfId="0" applyFont="1" applyBorder="1" applyAlignment="1">
      <alignment vertical="center"/>
    </xf>
    <xf numFmtId="195" fontId="77" fillId="0" borderId="0" xfId="61" applyNumberFormat="1" applyFont="1" applyBorder="1" applyAlignment="1">
      <alignment vertical="center"/>
    </xf>
    <xf numFmtId="0" fontId="6" fillId="0" borderId="11" xfId="0" applyFont="1" applyFill="1" applyBorder="1" applyAlignment="1" quotePrefix="1">
      <alignment wrapText="1"/>
    </xf>
    <xf numFmtId="0" fontId="6" fillId="0" borderId="11" xfId="0" applyFont="1" applyFill="1" applyBorder="1" applyAlignment="1">
      <alignment vertical="center" wrapText="1"/>
    </xf>
    <xf numFmtId="43" fontId="6" fillId="0" borderId="16" xfId="72" applyNumberFormat="1" applyFont="1" applyBorder="1" applyAlignment="1">
      <alignment vertical="center"/>
    </xf>
    <xf numFmtId="43" fontId="6" fillId="0" borderId="0" xfId="72" applyNumberFormat="1" applyFont="1" applyBorder="1" applyAlignment="1">
      <alignment vertical="center"/>
    </xf>
    <xf numFmtId="9" fontId="9" fillId="0" borderId="19" xfId="61" applyFont="1" applyFill="1" applyBorder="1" applyAlignment="1">
      <alignment vertical="center"/>
    </xf>
    <xf numFmtId="0" fontId="9" fillId="0" borderId="25" xfId="0" applyFont="1" applyFill="1" applyBorder="1" applyAlignment="1">
      <alignment vertical="center"/>
    </xf>
    <xf numFmtId="0" fontId="9" fillId="0" borderId="19" xfId="0" applyFont="1" applyFill="1" applyBorder="1" applyAlignment="1">
      <alignment vertical="center"/>
    </xf>
    <xf numFmtId="176" fontId="9" fillId="0" borderId="20" xfId="47" applyFont="1" applyFill="1" applyBorder="1" applyAlignment="1">
      <alignment vertical="center"/>
    </xf>
    <xf numFmtId="4" fontId="9" fillId="0" borderId="12" xfId="0" applyNumberFormat="1"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wrapText="1"/>
    </xf>
    <xf numFmtId="0" fontId="7" fillId="0" borderId="0" xfId="0" applyFont="1" applyBorder="1" applyAlignment="1">
      <alignment horizontal="lef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1"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7" fillId="0" borderId="24" xfId="0" applyFont="1" applyBorder="1" applyAlignment="1">
      <alignment horizontal="left" vertical="center" wrapText="1"/>
    </xf>
    <xf numFmtId="0" fontId="7" fillId="0" borderId="20" xfId="0" applyFont="1" applyBorder="1" applyAlignment="1">
      <alignment horizontal="left" vertical="center" wrapText="1"/>
    </xf>
    <xf numFmtId="10" fontId="7" fillId="0" borderId="26" xfId="61" applyNumberFormat="1" applyFont="1" applyBorder="1" applyAlignment="1">
      <alignment horizontal="center" vertical="center"/>
    </xf>
    <xf numFmtId="10" fontId="7" fillId="0" borderId="25" xfId="61" applyNumberFormat="1" applyFont="1" applyBorder="1" applyAlignment="1">
      <alignment horizontal="center" vertical="center"/>
    </xf>
    <xf numFmtId="10" fontId="7" fillId="0" borderId="12" xfId="61" applyNumberFormat="1" applyFont="1" applyBorder="1" applyAlignment="1">
      <alignment horizontal="center" vertical="center"/>
    </xf>
    <xf numFmtId="176" fontId="7" fillId="0" borderId="27" xfId="47" applyFont="1" applyBorder="1" applyAlignment="1">
      <alignment horizontal="center" vertical="center"/>
    </xf>
    <xf numFmtId="176" fontId="7" fillId="0" borderId="33" xfId="47" applyFont="1" applyBorder="1" applyAlignment="1">
      <alignment horizontal="center" vertical="center"/>
    </xf>
    <xf numFmtId="176" fontId="7" fillId="0" borderId="21" xfId="47" applyFont="1" applyBorder="1" applyAlignment="1">
      <alignment horizontal="center" vertical="center"/>
    </xf>
    <xf numFmtId="176" fontId="7" fillId="0" borderId="17" xfId="47" applyFont="1" applyBorder="1" applyAlignment="1">
      <alignment horizontal="center" vertical="center"/>
    </xf>
    <xf numFmtId="176" fontId="7" fillId="0" borderId="18" xfId="47" applyFont="1" applyBorder="1" applyAlignment="1">
      <alignment horizontal="center" vertical="center"/>
    </xf>
    <xf numFmtId="176" fontId="7" fillId="0" borderId="34" xfId="47" applyFont="1" applyBorder="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right" vertical="center"/>
    </xf>
    <xf numFmtId="10" fontId="7" fillId="0" borderId="35" xfId="61" applyNumberFormat="1" applyFont="1" applyBorder="1" applyAlignment="1">
      <alignment horizontal="center" vertical="center"/>
    </xf>
    <xf numFmtId="176" fontId="7" fillId="0" borderId="36" xfId="47" applyFont="1" applyBorder="1" applyAlignment="1">
      <alignment horizontal="center" vertical="center"/>
    </xf>
    <xf numFmtId="176" fontId="7" fillId="0" borderId="37" xfId="47" applyFont="1" applyBorder="1" applyAlignment="1">
      <alignment horizontal="center" vertical="center"/>
    </xf>
    <xf numFmtId="188" fontId="2" fillId="0" borderId="0" xfId="0" applyNumberFormat="1" applyFont="1" applyBorder="1" applyAlignment="1">
      <alignment horizontal="left" vertical="center"/>
    </xf>
    <xf numFmtId="0" fontId="51" fillId="35" borderId="22" xfId="0" applyFont="1" applyFill="1" applyBorder="1" applyAlignment="1">
      <alignment horizontal="left" vertical="center"/>
    </xf>
    <xf numFmtId="0" fontId="67" fillId="34" borderId="38" xfId="0" applyFont="1" applyFill="1" applyBorder="1" applyAlignment="1">
      <alignment horizontal="left" vertical="center"/>
    </xf>
    <xf numFmtId="0" fontId="67" fillId="34" borderId="39" xfId="0" applyFont="1" applyFill="1" applyBorder="1" applyAlignment="1">
      <alignment horizontal="left" vertical="center"/>
    </xf>
    <xf numFmtId="0" fontId="68" fillId="34" borderId="24" xfId="0" applyFont="1" applyFill="1" applyBorder="1" applyAlignment="1">
      <alignment horizontal="left" vertical="center" wrapText="1"/>
    </xf>
    <xf numFmtId="0" fontId="0" fillId="0" borderId="24" xfId="0" applyBorder="1" applyAlignment="1">
      <alignment horizontal="left" vertical="center" wrapText="1"/>
    </xf>
    <xf numFmtId="0" fontId="78" fillId="36" borderId="35" xfId="0" applyFont="1" applyFill="1" applyBorder="1" applyAlignment="1">
      <alignment horizontal="center" vertical="center" wrapText="1"/>
    </xf>
    <xf numFmtId="0" fontId="78" fillId="36" borderId="25" xfId="0" applyFont="1" applyFill="1" applyBorder="1" applyAlignment="1">
      <alignment horizontal="center" vertical="center" wrapText="1"/>
    </xf>
    <xf numFmtId="0" fontId="70" fillId="36" borderId="18" xfId="0" applyFont="1" applyFill="1" applyBorder="1" applyAlignment="1">
      <alignment horizontal="center" vertical="center"/>
    </xf>
    <xf numFmtId="0" fontId="70" fillId="36" borderId="24" xfId="0" applyFont="1" applyFill="1" applyBorder="1" applyAlignment="1">
      <alignment horizontal="center" vertical="center"/>
    </xf>
    <xf numFmtId="0" fontId="70" fillId="36" borderId="20" xfId="0" applyFont="1" applyFill="1" applyBorder="1" applyAlignment="1">
      <alignment horizontal="center" vertical="center"/>
    </xf>
    <xf numFmtId="0" fontId="70" fillId="36" borderId="36" xfId="0" applyFont="1" applyFill="1" applyBorder="1" applyAlignment="1">
      <alignment horizontal="center" vertical="center"/>
    </xf>
    <xf numFmtId="0" fontId="70" fillId="36" borderId="23" xfId="0" applyFont="1" applyFill="1" applyBorder="1" applyAlignment="1">
      <alignment horizontal="center" vertical="center"/>
    </xf>
    <xf numFmtId="0" fontId="70" fillId="36" borderId="38" xfId="0" applyFont="1" applyFill="1" applyBorder="1" applyAlignment="1">
      <alignment horizontal="center" vertical="center"/>
    </xf>
    <xf numFmtId="176" fontId="37" fillId="38" borderId="23" xfId="47" applyFont="1" applyFill="1" applyBorder="1" applyAlignment="1">
      <alignment horizontal="center" vertical="center"/>
    </xf>
    <xf numFmtId="176" fontId="37" fillId="38" borderId="38" xfId="47" applyFont="1" applyFill="1" applyBorder="1" applyAlignment="1">
      <alignment horizontal="center" vertical="center"/>
    </xf>
    <xf numFmtId="176" fontId="37" fillId="38" borderId="39" xfId="47" applyFont="1" applyFill="1" applyBorder="1" applyAlignment="1">
      <alignment horizontal="center" vertical="center"/>
    </xf>
    <xf numFmtId="0" fontId="70" fillId="36" borderId="35" xfId="0" applyFont="1" applyFill="1" applyBorder="1" applyAlignment="1">
      <alignment horizontal="center" vertical="center"/>
    </xf>
    <xf numFmtId="0" fontId="70" fillId="36" borderId="12" xfId="0" applyFont="1" applyFill="1" applyBorder="1" applyAlignment="1">
      <alignment horizontal="center" vertical="center"/>
    </xf>
    <xf numFmtId="188" fontId="0" fillId="0" borderId="16" xfId="0" applyNumberFormat="1" applyBorder="1" applyAlignment="1">
      <alignment horizontal="left"/>
    </xf>
    <xf numFmtId="0" fontId="0" fillId="34" borderId="0" xfId="0" applyFill="1" applyAlignment="1">
      <alignment horizontal="left" vertical="center"/>
    </xf>
    <xf numFmtId="0" fontId="79" fillId="37" borderId="0" xfId="0" applyFont="1" applyFill="1" applyAlignment="1">
      <alignment horizontal="center"/>
    </xf>
    <xf numFmtId="0" fontId="71" fillId="34" borderId="30" xfId="0" applyFont="1" applyFill="1" applyBorder="1" applyAlignment="1">
      <alignment horizontal="left" vertical="center" wrapText="1"/>
    </xf>
    <xf numFmtId="0" fontId="0" fillId="0" borderId="30" xfId="0" applyBorder="1" applyAlignment="1">
      <alignment horizontal="left" vertical="center" wrapText="1"/>
    </xf>
    <xf numFmtId="0" fontId="37" fillId="37" borderId="29" xfId="56" applyFont="1" applyFill="1" applyBorder="1" applyAlignment="1" applyProtection="1">
      <alignment horizontal="right" vertical="center"/>
      <protection hidden="1"/>
    </xf>
    <xf numFmtId="0" fontId="37" fillId="37" borderId="30" xfId="56" applyFont="1" applyFill="1" applyBorder="1" applyAlignment="1" applyProtection="1">
      <alignment horizontal="right" vertical="center"/>
      <protection hidden="1"/>
    </xf>
    <xf numFmtId="0" fontId="37" fillId="19" borderId="29" xfId="56" applyFont="1" applyFill="1" applyBorder="1" applyAlignment="1" applyProtection="1">
      <alignment horizontal="right" vertical="center"/>
      <protection hidden="1"/>
    </xf>
    <xf numFmtId="0" fontId="37" fillId="19" borderId="30" xfId="56" applyFont="1" applyFill="1" applyBorder="1" applyAlignment="1" applyProtection="1">
      <alignment horizontal="right" vertical="center"/>
      <protection hidden="1"/>
    </xf>
    <xf numFmtId="0" fontId="37" fillId="19" borderId="14" xfId="56" applyFont="1" applyFill="1" applyBorder="1" applyAlignment="1" applyProtection="1">
      <alignment horizontal="right" vertical="center"/>
      <protection hidden="1"/>
    </xf>
    <xf numFmtId="0" fontId="39" fillId="0" borderId="27" xfId="56" applyFont="1" applyBorder="1" applyAlignment="1" applyProtection="1">
      <alignment horizontal="left" vertical="center" wrapText="1"/>
      <protection hidden="1"/>
    </xf>
    <xf numFmtId="0" fontId="39" fillId="0" borderId="28" xfId="56" applyFont="1" applyBorder="1" applyAlignment="1" applyProtection="1">
      <alignment horizontal="left" vertical="center" wrapText="1"/>
      <protection hidden="1"/>
    </xf>
    <xf numFmtId="0" fontId="39" fillId="34" borderId="29" xfId="56" applyFont="1" applyFill="1" applyBorder="1" applyAlignment="1" applyProtection="1">
      <alignment horizontal="left" vertical="center"/>
      <protection hidden="1"/>
    </xf>
    <xf numFmtId="0" fontId="39" fillId="34" borderId="14" xfId="56" applyFont="1" applyFill="1" applyBorder="1" applyAlignment="1" applyProtection="1">
      <alignment horizontal="left" vertical="center"/>
      <protection hidden="1"/>
    </xf>
    <xf numFmtId="0" fontId="70" fillId="36" borderId="40" xfId="0" applyFont="1" applyFill="1" applyBorder="1" applyAlignment="1">
      <alignment horizontal="center" vertical="center"/>
    </xf>
    <xf numFmtId="2" fontId="74" fillId="37" borderId="11" xfId="56" applyNumberFormat="1" applyFont="1" applyFill="1" applyBorder="1" applyAlignment="1" applyProtection="1">
      <alignment horizontal="center" vertical="center"/>
      <protection hidden="1"/>
    </xf>
    <xf numFmtId="0" fontId="72" fillId="19" borderId="11" xfId="61" applyNumberFormat="1" applyFont="1" applyFill="1" applyBorder="1" applyAlignment="1">
      <alignment horizontal="center" vertical="center"/>
    </xf>
    <xf numFmtId="0" fontId="75" fillId="34" borderId="0" xfId="0" applyFont="1" applyFill="1" applyAlignment="1">
      <alignment horizontal="left" vertical="top" wrapText="1"/>
    </xf>
    <xf numFmtId="0" fontId="44" fillId="34" borderId="0" xfId="0" applyFont="1" applyFill="1" applyAlignment="1">
      <alignment horizontal="left" vertical="top" wrapText="1"/>
    </xf>
    <xf numFmtId="0" fontId="8" fillId="10" borderId="11" xfId="55" applyFont="1" applyFill="1" applyBorder="1" applyAlignment="1">
      <alignment horizontal="center" vertical="center"/>
      <protection/>
    </xf>
    <xf numFmtId="0" fontId="11" fillId="0" borderId="11" xfId="55" applyFont="1" applyBorder="1" applyAlignment="1">
      <alignment horizontal="center" vertical="center"/>
      <protection/>
    </xf>
    <xf numFmtId="40" fontId="8" fillId="10" borderId="11" xfId="59" applyNumberFormat="1" applyFont="1" applyFill="1" applyBorder="1" applyAlignment="1">
      <alignment horizontal="center" vertical="center"/>
      <protection/>
    </xf>
    <xf numFmtId="0" fontId="8" fillId="10" borderId="29" xfId="55" applyFont="1" applyFill="1" applyBorder="1" applyAlignment="1">
      <alignment horizontal="center" vertical="center"/>
      <protection/>
    </xf>
    <xf numFmtId="0" fontId="8" fillId="10" borderId="30" xfId="55" applyFont="1" applyFill="1" applyBorder="1" applyAlignment="1">
      <alignment horizontal="center" vertical="center"/>
      <protection/>
    </xf>
    <xf numFmtId="0" fontId="8" fillId="10" borderId="14" xfId="55" applyFont="1" applyFill="1" applyBorder="1" applyAlignment="1">
      <alignment horizontal="center" vertical="center"/>
      <protection/>
    </xf>
    <xf numFmtId="4" fontId="12" fillId="0" borderId="11" xfId="57" applyNumberFormat="1" applyFont="1" applyFill="1" applyBorder="1" applyAlignment="1">
      <alignment horizontal="left" vertical="center" wrapText="1"/>
      <protection/>
    </xf>
    <xf numFmtId="0" fontId="7" fillId="0" borderId="0" xfId="0" applyFont="1" applyBorder="1" applyAlignment="1">
      <alignment wrapText="1"/>
    </xf>
    <xf numFmtId="0" fontId="7" fillId="0" borderId="0" xfId="0" applyFont="1" applyBorder="1" applyAlignment="1">
      <alignment vertical="center"/>
    </xf>
    <xf numFmtId="0" fontId="7" fillId="0" borderId="0" xfId="0" applyFont="1" applyBorder="1" applyAlignment="1">
      <alignment vertical="center" wrapText="1"/>
    </xf>
    <xf numFmtId="0" fontId="7" fillId="19" borderId="10" xfId="0" applyFont="1" applyFill="1" applyBorder="1" applyAlignment="1">
      <alignment horizontal="center" vertical="center"/>
    </xf>
    <xf numFmtId="0" fontId="7" fillId="13" borderId="11" xfId="0" applyFont="1" applyFill="1" applyBorder="1" applyAlignment="1">
      <alignment horizontal="center" vertical="center" wrapText="1"/>
    </xf>
    <xf numFmtId="49" fontId="7" fillId="13" borderId="11" xfId="0" applyNumberFormat="1" applyFont="1" applyFill="1" applyBorder="1" applyAlignment="1">
      <alignment horizontal="center" vertical="center"/>
    </xf>
    <xf numFmtId="0" fontId="7" fillId="13" borderId="11" xfId="0" applyFont="1" applyFill="1" applyBorder="1" applyAlignment="1">
      <alignment horizontal="center" vertical="center"/>
    </xf>
    <xf numFmtId="0" fontId="0" fillId="0" borderId="0" xfId="0" applyAlignment="1">
      <alignment/>
    </xf>
    <xf numFmtId="0" fontId="2" fillId="0" borderId="0" xfId="0" applyFont="1" applyBorder="1" applyAlignment="1">
      <alignment/>
    </xf>
    <xf numFmtId="0" fontId="2" fillId="0" borderId="0" xfId="0" applyFont="1" applyBorder="1" applyAlignment="1">
      <alignment vertical="center"/>
    </xf>
    <xf numFmtId="0" fontId="3" fillId="0" borderId="0" xfId="0" applyFont="1" applyBorder="1" applyAlignment="1">
      <alignment vertical="center"/>
    </xf>
    <xf numFmtId="43" fontId="2" fillId="0" borderId="0" xfId="0" applyNumberFormat="1" applyFont="1" applyBorder="1" applyAlignment="1">
      <alignment/>
    </xf>
    <xf numFmtId="43" fontId="3" fillId="0" borderId="0" xfId="0" applyNumberFormat="1" applyFont="1" applyBorder="1" applyAlignment="1">
      <alignment/>
    </xf>
    <xf numFmtId="4" fontId="2" fillId="0" borderId="0" xfId="0" applyNumberFormat="1" applyFont="1" applyAlignment="1">
      <alignment/>
    </xf>
    <xf numFmtId="0" fontId="5" fillId="0" borderId="0" xfId="0" applyFont="1" applyBorder="1" applyAlignment="1">
      <alignment/>
    </xf>
    <xf numFmtId="43" fontId="5" fillId="0" borderId="0" xfId="0" applyNumberFormat="1" applyFont="1" applyBorder="1" applyAlignment="1">
      <alignment/>
    </xf>
    <xf numFmtId="4" fontId="4" fillId="0" borderId="0" xfId="0" applyNumberFormat="1" applyFont="1" applyBorder="1" applyAlignment="1">
      <alignment/>
    </xf>
    <xf numFmtId="0" fontId="7" fillId="0" borderId="0" xfId="0" applyFont="1" applyBorder="1" applyAlignment="1">
      <alignment horizontal="center" vertical="center"/>
    </xf>
    <xf numFmtId="43" fontId="7" fillId="0" borderId="0" xfId="0" applyNumberFormat="1" applyFont="1" applyBorder="1" applyAlignment="1">
      <alignment vertical="center"/>
    </xf>
    <xf numFmtId="0" fontId="2" fillId="0" borderId="0" xfId="0" applyFont="1" applyAlignment="1">
      <alignment/>
    </xf>
    <xf numFmtId="0" fontId="3" fillId="0" borderId="0" xfId="0" applyFont="1" applyAlignment="1">
      <alignment vertical="center"/>
    </xf>
    <xf numFmtId="0" fontId="0" fillId="34" borderId="0" xfId="0" applyFill="1" applyAlignment="1">
      <alignment vertical="center"/>
    </xf>
    <xf numFmtId="0" fontId="0" fillId="34" borderId="27" xfId="0" applyFill="1" applyBorder="1" applyAlignment="1">
      <alignment/>
    </xf>
    <xf numFmtId="0" fontId="0" fillId="34" borderId="16" xfId="0" applyFill="1" applyBorder="1" applyAlignment="1">
      <alignment/>
    </xf>
    <xf numFmtId="0" fontId="0" fillId="34" borderId="28" xfId="0" applyFill="1" applyBorder="1" applyAlignment="1">
      <alignment/>
    </xf>
    <xf numFmtId="0" fontId="0" fillId="0" borderId="0" xfId="0" applyAlignment="1">
      <alignment vertical="center"/>
    </xf>
    <xf numFmtId="0" fontId="0" fillId="0" borderId="21" xfId="0" applyBorder="1" applyAlignment="1">
      <alignment/>
    </xf>
    <xf numFmtId="0" fontId="0" fillId="0" borderId="19" xfId="0" applyBorder="1" applyAlignment="1">
      <alignment/>
    </xf>
    <xf numFmtId="0" fontId="2" fillId="0" borderId="0" xfId="0" applyFont="1" applyAlignment="1">
      <alignment vertical="center"/>
    </xf>
    <xf numFmtId="0" fontId="6" fillId="0" borderId="0" xfId="0" applyFont="1" applyAlignment="1">
      <alignment vertical="center"/>
    </xf>
    <xf numFmtId="4" fontId="6" fillId="0" borderId="0" xfId="0" applyNumberFormat="1" applyFont="1" applyAlignment="1">
      <alignment vertical="center"/>
    </xf>
    <xf numFmtId="49" fontId="2" fillId="0" borderId="0" xfId="0" applyNumberFormat="1" applyFont="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wrapText="1"/>
    </xf>
    <xf numFmtId="0" fontId="2" fillId="19" borderId="0" xfId="0" applyFont="1" applyFill="1" applyBorder="1" applyAlignment="1">
      <alignment vertical="center"/>
    </xf>
    <xf numFmtId="0" fontId="2" fillId="19" borderId="0" xfId="0" applyFont="1" applyFill="1" applyBorder="1" applyAlignment="1">
      <alignment horizontal="center" vertical="center"/>
    </xf>
    <xf numFmtId="0" fontId="2" fillId="19" borderId="0" xfId="0" applyFont="1" applyFill="1" applyAlignment="1">
      <alignment vertical="center"/>
    </xf>
    <xf numFmtId="0" fontId="2" fillId="19" borderId="0" xfId="0" applyFont="1" applyFill="1" applyAlignment="1">
      <alignment/>
    </xf>
    <xf numFmtId="0" fontId="7" fillId="0" borderId="0" xfId="0" applyFont="1" applyBorder="1" applyAlignment="1">
      <alignment horizontal="left" wrapText="1"/>
    </xf>
    <xf numFmtId="4" fontId="6" fillId="19" borderId="0" xfId="0" applyNumberFormat="1" applyFont="1" applyFill="1" applyAlignment="1">
      <alignment horizontal="center" vertical="center"/>
    </xf>
    <xf numFmtId="0" fontId="7" fillId="19" borderId="24" xfId="0" applyFont="1" applyFill="1" applyBorder="1" applyAlignment="1">
      <alignment horizontal="center" vertical="center"/>
    </xf>
    <xf numFmtId="49" fontId="7" fillId="19" borderId="14" xfId="0" applyNumberFormat="1" applyFont="1" applyFill="1" applyBorder="1" applyAlignment="1">
      <alignment horizontal="center" vertical="center"/>
    </xf>
    <xf numFmtId="0" fontId="7" fillId="19" borderId="18" xfId="0" applyFont="1" applyFill="1" applyBorder="1" applyAlignment="1">
      <alignment vertical="center"/>
    </xf>
    <xf numFmtId="0" fontId="7" fillId="19" borderId="24" xfId="0" applyFont="1" applyFill="1" applyBorder="1" applyAlignment="1">
      <alignment vertical="center"/>
    </xf>
    <xf numFmtId="176" fontId="7" fillId="19" borderId="24" xfId="47" applyFont="1" applyFill="1" applyBorder="1" applyAlignment="1">
      <alignment vertical="center"/>
    </xf>
    <xf numFmtId="176" fontId="7" fillId="19" borderId="13" xfId="47" applyFont="1" applyFill="1" applyBorder="1" applyAlignment="1">
      <alignment horizontal="right" vertical="center"/>
    </xf>
    <xf numFmtId="0" fontId="7" fillId="19" borderId="18" xfId="0" applyFont="1" applyFill="1" applyBorder="1" applyAlignment="1">
      <alignment vertical="center" wrapText="1"/>
    </xf>
    <xf numFmtId="0" fontId="7" fillId="19" borderId="41" xfId="0" applyFont="1" applyFill="1" applyBorder="1" applyAlignment="1">
      <alignment horizontal="center" vertical="center"/>
    </xf>
    <xf numFmtId="0" fontId="7" fillId="19" borderId="42" xfId="0" applyFont="1" applyFill="1" applyBorder="1" applyAlignment="1">
      <alignment horizontal="center" vertical="center"/>
    </xf>
    <xf numFmtId="0" fontId="7" fillId="19" borderId="43" xfId="0" applyFont="1" applyFill="1" applyBorder="1" applyAlignment="1">
      <alignment horizontal="center" vertical="center"/>
    </xf>
    <xf numFmtId="176" fontId="8" fillId="19" borderId="23" xfId="47" applyFont="1" applyFill="1" applyBorder="1" applyAlignment="1">
      <alignment horizontal="center" vertical="center"/>
    </xf>
    <xf numFmtId="176" fontId="8" fillId="19" borderId="39" xfId="47" applyFont="1" applyFill="1" applyBorder="1" applyAlignment="1">
      <alignment horizontal="center" vertical="center"/>
    </xf>
    <xf numFmtId="176" fontId="12" fillId="19" borderId="11" xfId="47" applyFont="1" applyFill="1" applyBorder="1" applyAlignment="1">
      <alignment horizontal="right" vertical="center"/>
    </xf>
    <xf numFmtId="176" fontId="12" fillId="19" borderId="11" xfId="47" applyFont="1" applyFill="1" applyBorder="1" applyAlignment="1">
      <alignment vertical="center"/>
    </xf>
    <xf numFmtId="177" fontId="0" fillId="19" borderId="0" xfId="72" applyFont="1" applyFill="1" applyBorder="1" applyAlignment="1">
      <alignment/>
    </xf>
    <xf numFmtId="177" fontId="2" fillId="19" borderId="0" xfId="0" applyNumberFormat="1" applyFont="1" applyFill="1" applyBorder="1" applyAlignment="1">
      <alignment vertical="center"/>
    </xf>
    <xf numFmtId="0" fontId="3" fillId="0" borderId="0" xfId="0" applyFont="1" applyAlignment="1">
      <alignment horizontal="center" vertical="center"/>
    </xf>
    <xf numFmtId="10" fontId="3" fillId="0" borderId="0" xfId="0" applyNumberFormat="1" applyFont="1" applyBorder="1" applyAlignment="1">
      <alignment horizontal="left" vertical="center"/>
    </xf>
    <xf numFmtId="0" fontId="3" fillId="19" borderId="19" xfId="54" applyFont="1" applyFill="1" applyBorder="1" applyAlignment="1">
      <alignment vertical="center" wrapText="1"/>
      <protection/>
    </xf>
    <xf numFmtId="177" fontId="6" fillId="19" borderId="0" xfId="72" applyFont="1" applyFill="1" applyAlignment="1">
      <alignment vertical="center"/>
    </xf>
    <xf numFmtId="0" fontId="3" fillId="19" borderId="23" xfId="54" applyFont="1" applyFill="1" applyBorder="1" applyAlignment="1">
      <alignment horizontal="center" vertical="center" wrapText="1"/>
      <protection/>
    </xf>
    <xf numFmtId="0" fontId="3" fillId="19" borderId="38" xfId="54" applyFont="1" applyFill="1" applyBorder="1" applyAlignment="1">
      <alignment horizontal="center" vertical="center" wrapText="1"/>
      <protection/>
    </xf>
    <xf numFmtId="0" fontId="3" fillId="19" borderId="39" xfId="54" applyFont="1" applyFill="1" applyBorder="1" applyAlignment="1">
      <alignment horizontal="center" vertical="center" wrapText="1"/>
      <protection/>
    </xf>
    <xf numFmtId="0" fontId="3" fillId="19" borderId="44" xfId="0" applyFont="1" applyFill="1" applyBorder="1" applyAlignment="1">
      <alignment horizontal="center" vertical="center" wrapText="1"/>
    </xf>
    <xf numFmtId="0" fontId="3" fillId="19" borderId="40" xfId="0" applyFont="1" applyFill="1" applyBorder="1" applyAlignment="1">
      <alignment horizontal="center" vertical="center" wrapText="1"/>
    </xf>
    <xf numFmtId="0" fontId="3" fillId="19" borderId="45" xfId="0" applyFont="1" applyFill="1" applyBorder="1" applyAlignment="1">
      <alignment horizontal="center" vertical="center" wrapText="1"/>
    </xf>
    <xf numFmtId="10" fontId="3" fillId="19" borderId="35" xfId="61" applyNumberFormat="1" applyFont="1" applyFill="1" applyBorder="1" applyAlignment="1">
      <alignment horizontal="center" vertical="center" wrapText="1"/>
    </xf>
    <xf numFmtId="176" fontId="3" fillId="19" borderId="35" xfId="47" applyFont="1" applyFill="1" applyBorder="1" applyAlignment="1">
      <alignment horizontal="center" vertical="center" wrapText="1"/>
    </xf>
    <xf numFmtId="176" fontId="3" fillId="19" borderId="36" xfId="47" applyFont="1" applyFill="1" applyBorder="1" applyAlignment="1">
      <alignment horizontal="center" vertical="center" wrapText="1"/>
    </xf>
    <xf numFmtId="176" fontId="3" fillId="19" borderId="37" xfId="47" applyFont="1" applyFill="1" applyBorder="1" applyAlignment="1">
      <alignment horizontal="center" vertical="center" wrapText="1"/>
    </xf>
    <xf numFmtId="0" fontId="3" fillId="19" borderId="23" xfId="0" applyFont="1" applyFill="1" applyBorder="1" applyAlignment="1">
      <alignment horizontal="right" vertical="center" wrapText="1"/>
    </xf>
    <xf numFmtId="0" fontId="3" fillId="19" borderId="38" xfId="0" applyFont="1" applyFill="1" applyBorder="1" applyAlignment="1">
      <alignment horizontal="right" vertical="center" wrapText="1"/>
    </xf>
    <xf numFmtId="0" fontId="3" fillId="19" borderId="46" xfId="0" applyFont="1" applyFill="1" applyBorder="1" applyAlignment="1">
      <alignment horizontal="right" vertical="center" wrapText="1"/>
    </xf>
    <xf numFmtId="10" fontId="3" fillId="19" borderId="36" xfId="61" applyNumberFormat="1" applyFont="1" applyFill="1" applyBorder="1" applyAlignment="1">
      <alignment horizontal="right" vertical="center" wrapText="1"/>
    </xf>
    <xf numFmtId="10" fontId="3" fillId="19" borderId="37" xfId="61" applyNumberFormat="1" applyFont="1" applyFill="1" applyBorder="1" applyAlignment="1">
      <alignment horizontal="right" vertical="center" wrapText="1"/>
    </xf>
    <xf numFmtId="10" fontId="3" fillId="19" borderId="47" xfId="61" applyNumberFormat="1" applyFont="1" applyFill="1" applyBorder="1" applyAlignment="1">
      <alignment horizontal="center" vertical="center" wrapText="1"/>
    </xf>
    <xf numFmtId="10" fontId="3" fillId="19" borderId="48" xfId="61" applyNumberFormat="1" applyFont="1" applyFill="1" applyBorder="1" applyAlignment="1">
      <alignment horizontal="right" vertical="center" wrapText="1"/>
    </xf>
    <xf numFmtId="10" fontId="3" fillId="19" borderId="49" xfId="61" applyNumberFormat="1" applyFont="1" applyFill="1" applyBorder="1" applyAlignment="1">
      <alignment horizontal="right" vertical="center" wrapText="1"/>
    </xf>
    <xf numFmtId="0" fontId="7" fillId="19" borderId="50" xfId="0" applyFont="1" applyFill="1" applyBorder="1" applyAlignment="1">
      <alignment horizontal="center" vertical="center"/>
    </xf>
    <xf numFmtId="0" fontId="7" fillId="19" borderId="36" xfId="0" applyFont="1" applyFill="1" applyBorder="1" applyAlignment="1">
      <alignment horizontal="center" vertical="center" wrapText="1"/>
    </xf>
    <xf numFmtId="0" fontId="7" fillId="19" borderId="40" xfId="0" applyFont="1" applyFill="1" applyBorder="1" applyAlignment="1">
      <alignment horizontal="center" vertical="center" wrapText="1"/>
    </xf>
    <xf numFmtId="0" fontId="7" fillId="19" borderId="45" xfId="0" applyFont="1" applyFill="1" applyBorder="1" applyAlignment="1">
      <alignment horizontal="center" vertical="center" wrapText="1"/>
    </xf>
    <xf numFmtId="0" fontId="7" fillId="19" borderId="51" xfId="0" applyFont="1" applyFill="1" applyBorder="1" applyAlignment="1">
      <alignment horizontal="center" vertical="center" wrapText="1"/>
    </xf>
    <xf numFmtId="0" fontId="7" fillId="19" borderId="52" xfId="0" applyFont="1" applyFill="1" applyBorder="1" applyAlignment="1">
      <alignment horizontal="center" vertical="center" wrapText="1"/>
    </xf>
    <xf numFmtId="0" fontId="7" fillId="19" borderId="31" xfId="0" applyFont="1" applyFill="1" applyBorder="1" applyAlignment="1">
      <alignment horizontal="center" vertical="center"/>
    </xf>
    <xf numFmtId="0" fontId="7" fillId="19" borderId="21" xfId="0" applyFont="1" applyFill="1" applyBorder="1" applyAlignment="1">
      <alignment horizontal="center" vertical="center" wrapText="1"/>
    </xf>
    <xf numFmtId="0" fontId="7" fillId="19" borderId="0" xfId="0" applyFont="1" applyFill="1" applyBorder="1" applyAlignment="1">
      <alignment horizontal="center" vertical="center" wrapText="1"/>
    </xf>
    <xf numFmtId="0" fontId="7" fillId="19" borderId="19"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19" borderId="13" xfId="0" applyFont="1" applyFill="1" applyBorder="1" applyAlignment="1">
      <alignment horizontal="center" vertical="center" wrapText="1"/>
    </xf>
    <xf numFmtId="0" fontId="7" fillId="19" borderId="53" xfId="0" applyFont="1" applyFill="1" applyBorder="1" applyAlignment="1">
      <alignment horizontal="center" vertical="center"/>
    </xf>
    <xf numFmtId="0" fontId="7" fillId="19" borderId="48" xfId="0" applyFont="1" applyFill="1" applyBorder="1" applyAlignment="1">
      <alignment horizontal="center" vertical="center" wrapText="1"/>
    </xf>
    <xf numFmtId="0" fontId="7" fillId="19" borderId="54" xfId="0" applyFont="1" applyFill="1" applyBorder="1" applyAlignment="1">
      <alignment horizontal="center" vertical="center" wrapText="1"/>
    </xf>
    <xf numFmtId="0" fontId="7" fillId="19" borderId="55" xfId="0" applyFont="1" applyFill="1" applyBorder="1" applyAlignment="1">
      <alignment horizontal="center" vertical="center" wrapText="1"/>
    </xf>
    <xf numFmtId="0" fontId="7" fillId="19" borderId="56" xfId="0" applyFont="1" applyFill="1" applyBorder="1" applyAlignment="1">
      <alignment horizontal="center" vertical="center"/>
    </xf>
    <xf numFmtId="0" fontId="7" fillId="19" borderId="57" xfId="0" applyFont="1" applyFill="1" applyBorder="1" applyAlignment="1">
      <alignment horizontal="center" vertical="center" wrapText="1"/>
    </xf>
    <xf numFmtId="0" fontId="7" fillId="19" borderId="43" xfId="0" applyFont="1" applyFill="1" applyBorder="1" applyAlignment="1">
      <alignment horizontal="center" vertical="center" wrapText="1"/>
    </xf>
    <xf numFmtId="0" fontId="0" fillId="0" borderId="58" xfId="0" applyBorder="1" applyAlignment="1">
      <alignment horizontal="center"/>
    </xf>
    <xf numFmtId="0" fontId="12" fillId="34" borderId="19" xfId="54" applyFont="1" applyFill="1" applyBorder="1" applyAlignment="1">
      <alignment horizontal="left" vertical="center" wrapText="1"/>
      <protection/>
    </xf>
    <xf numFmtId="0" fontId="12" fillId="34" borderId="0" xfId="54" applyFont="1" applyFill="1" applyBorder="1" applyAlignment="1">
      <alignment horizontal="left" vertical="center" wrapText="1"/>
      <protection/>
    </xf>
    <xf numFmtId="0" fontId="12" fillId="34" borderId="21" xfId="54" applyFont="1" applyFill="1" applyBorder="1" applyAlignment="1">
      <alignment horizontal="left" vertical="center" wrapText="1"/>
      <protection/>
    </xf>
    <xf numFmtId="0" fontId="3" fillId="19" borderId="11" xfId="54" applyFont="1" applyFill="1" applyBorder="1" applyAlignment="1">
      <alignment horizontal="center" vertical="center"/>
      <protection/>
    </xf>
    <xf numFmtId="0" fontId="2" fillId="0" borderId="0" xfId="54" applyFont="1" applyAlignment="1">
      <alignment vertical="center"/>
      <protection/>
    </xf>
    <xf numFmtId="177" fontId="6" fillId="0" borderId="0" xfId="72" applyFont="1" applyAlignment="1">
      <alignment vertical="center"/>
    </xf>
    <xf numFmtId="0" fontId="6" fillId="0" borderId="0" xfId="54" applyFont="1" applyAlignment="1">
      <alignment vertical="center"/>
      <protection/>
    </xf>
    <xf numFmtId="4" fontId="6" fillId="0" borderId="0" xfId="54" applyNumberFormat="1" applyFont="1" applyAlignment="1">
      <alignment vertical="center"/>
      <protection/>
    </xf>
    <xf numFmtId="49" fontId="2" fillId="0" borderId="0" xfId="54" applyNumberFormat="1" applyFont="1" applyAlignment="1">
      <alignment vertical="center"/>
      <protection/>
    </xf>
    <xf numFmtId="10" fontId="3" fillId="0" borderId="0" xfId="61" applyNumberFormat="1" applyFont="1" applyAlignment="1">
      <alignment vertical="center"/>
    </xf>
    <xf numFmtId="0" fontId="6" fillId="0" borderId="30" xfId="0" applyFont="1" applyBorder="1" applyAlignment="1">
      <alignment horizontal="right" vertical="center"/>
    </xf>
    <xf numFmtId="0" fontId="2" fillId="0" borderId="0" xfId="0" applyFont="1" applyFill="1" applyAlignment="1">
      <alignment/>
    </xf>
    <xf numFmtId="0" fontId="12" fillId="0" borderId="14" xfId="54" applyFont="1" applyBorder="1" applyAlignment="1">
      <alignment horizontal="right"/>
      <protection/>
    </xf>
    <xf numFmtId="0" fontId="12" fillId="0" borderId="30" xfId="54" applyFont="1" applyBorder="1" applyAlignment="1">
      <alignment horizontal="right"/>
      <protection/>
    </xf>
    <xf numFmtId="0" fontId="12" fillId="0" borderId="29" xfId="54" applyFont="1" applyBorder="1" applyAlignment="1">
      <alignment horizontal="right"/>
      <protection/>
    </xf>
    <xf numFmtId="0" fontId="12" fillId="19" borderId="14" xfId="54" applyFont="1" applyFill="1" applyBorder="1" applyAlignment="1">
      <alignment horizontal="center"/>
      <protection/>
    </xf>
    <xf numFmtId="0" fontId="12" fillId="19" borderId="30" xfId="54" applyFont="1" applyFill="1" applyBorder="1" applyAlignment="1">
      <alignment horizontal="center"/>
      <protection/>
    </xf>
    <xf numFmtId="0" fontId="12" fillId="19" borderId="29" xfId="54" applyFont="1" applyFill="1" applyBorder="1" applyAlignment="1">
      <alignment horizontal="center"/>
      <protection/>
    </xf>
    <xf numFmtId="0" fontId="0" fillId="0" borderId="11" xfId="57" applyFont="1" applyFill="1" applyBorder="1" applyAlignment="1">
      <alignment horizontal="center" vertical="center" wrapText="1"/>
      <protection/>
    </xf>
    <xf numFmtId="0" fontId="0" fillId="0" borderId="11" xfId="54" applyFont="1" applyFill="1" applyBorder="1" applyAlignment="1">
      <alignment horizontal="left" vertical="center" wrapText="1"/>
      <protection/>
    </xf>
    <xf numFmtId="0" fontId="0" fillId="0" borderId="11" xfId="57" applyNumberFormat="1" applyFont="1" applyFill="1" applyBorder="1" applyAlignment="1">
      <alignment horizontal="center" vertical="center"/>
      <protection/>
    </xf>
    <xf numFmtId="189" fontId="0" fillId="0" borderId="11" xfId="57" applyNumberFormat="1" applyFont="1" applyFill="1" applyBorder="1" applyAlignment="1">
      <alignment horizontal="center" vertical="center" wrapText="1"/>
      <protection/>
    </xf>
    <xf numFmtId="190" fontId="0" fillId="0" borderId="11" xfId="50" applyFont="1" applyFill="1" applyBorder="1" applyAlignment="1">
      <alignment horizontal="center" vertical="center"/>
    </xf>
    <xf numFmtId="49" fontId="0" fillId="0" borderId="11" xfId="53" applyNumberFormat="1" applyFont="1" applyFill="1" applyBorder="1" applyAlignment="1">
      <alignment horizontal="center" vertical="center"/>
      <protection/>
    </xf>
    <xf numFmtId="0" fontId="0" fillId="0" borderId="0" xfId="54">
      <alignment/>
      <protection/>
    </xf>
    <xf numFmtId="177" fontId="6" fillId="0" borderId="12" xfId="72" applyFont="1" applyFill="1" applyBorder="1" applyAlignment="1">
      <alignment horizontal="right" vertical="center"/>
    </xf>
    <xf numFmtId="177" fontId="6" fillId="0" borderId="13" xfId="72" applyFont="1" applyFill="1" applyBorder="1" applyAlignment="1">
      <alignment vertical="center"/>
    </xf>
    <xf numFmtId="177" fontId="7" fillId="0" borderId="0" xfId="72" applyNumberFormat="1" applyFont="1" applyBorder="1" applyAlignment="1">
      <alignment horizontal="center" vertical="center"/>
    </xf>
    <xf numFmtId="177" fontId="2" fillId="0" borderId="0" xfId="72" applyFont="1" applyAlignment="1">
      <alignment/>
    </xf>
    <xf numFmtId="0" fontId="2" fillId="0" borderId="0" xfId="54" applyFont="1" applyAlignment="1">
      <alignment vertical="center"/>
      <protection/>
    </xf>
    <xf numFmtId="0" fontId="0" fillId="0" borderId="11" xfId="57" applyFont="1" applyFill="1" applyBorder="1" applyAlignment="1">
      <alignment horizontal="center" vertical="center" wrapText="1"/>
      <protection/>
    </xf>
    <xf numFmtId="0" fontId="0" fillId="0" borderId="11" xfId="54" applyFont="1" applyFill="1" applyBorder="1" applyAlignment="1">
      <alignment horizontal="left" vertical="center" wrapText="1"/>
      <protection/>
    </xf>
    <xf numFmtId="0" fontId="0" fillId="0" borderId="11" xfId="57" applyNumberFormat="1" applyFont="1" applyFill="1" applyBorder="1" applyAlignment="1">
      <alignment horizontal="center" vertical="center"/>
      <protection/>
    </xf>
    <xf numFmtId="189" fontId="0" fillId="0" borderId="11" xfId="57" applyNumberFormat="1" applyFont="1" applyFill="1" applyBorder="1" applyAlignment="1">
      <alignment horizontal="center" vertical="center" wrapText="1"/>
      <protection/>
    </xf>
    <xf numFmtId="190" fontId="0" fillId="0" borderId="11" xfId="50" applyFont="1" applyFill="1" applyBorder="1" applyAlignment="1">
      <alignment horizontal="center" vertical="center" wrapText="1"/>
    </xf>
    <xf numFmtId="190" fontId="0" fillId="0" borderId="11" xfId="50" applyFont="1" applyFill="1" applyBorder="1" applyAlignment="1">
      <alignment horizontal="center" vertical="center"/>
    </xf>
    <xf numFmtId="49" fontId="4" fillId="0" borderId="11" xfId="53" applyNumberFormat="1" applyFont="1" applyFill="1" applyBorder="1" applyAlignment="1">
      <alignment horizontal="center" vertical="center"/>
      <protection/>
    </xf>
    <xf numFmtId="49" fontId="0" fillId="0" borderId="11" xfId="53" applyNumberFormat="1" applyFont="1" applyFill="1" applyBorder="1" applyAlignment="1">
      <alignment horizontal="center" vertical="center"/>
      <protection/>
    </xf>
    <xf numFmtId="0" fontId="12" fillId="19" borderId="11" xfId="57" applyNumberFormat="1" applyFont="1" applyFill="1" applyBorder="1" applyAlignment="1">
      <alignment horizontal="center" vertical="center"/>
      <protection/>
    </xf>
    <xf numFmtId="0" fontId="4" fillId="19" borderId="11" xfId="57" applyFont="1" applyFill="1" applyBorder="1" applyAlignment="1">
      <alignment horizontal="center" vertical="center"/>
      <protection/>
    </xf>
    <xf numFmtId="49" fontId="4" fillId="19" borderId="11" xfId="57" applyNumberFormat="1" applyFont="1" applyFill="1" applyBorder="1" applyAlignment="1">
      <alignment horizontal="center" vertical="center"/>
      <protection/>
    </xf>
    <xf numFmtId="167" fontId="4" fillId="19" borderId="11" xfId="57" applyNumberFormat="1" applyFont="1" applyFill="1" applyBorder="1" applyAlignment="1">
      <alignment horizontal="center" vertical="center"/>
      <protection/>
    </xf>
    <xf numFmtId="0" fontId="2" fillId="19" borderId="0" xfId="54" applyFont="1" applyFill="1">
      <alignment/>
      <protection/>
    </xf>
    <xf numFmtId="10" fontId="2" fillId="0" borderId="0" xfId="54" applyNumberFormat="1" applyFont="1" applyAlignment="1">
      <alignment vertical="center"/>
      <protection/>
    </xf>
    <xf numFmtId="4" fontId="4" fillId="0" borderId="11" xfId="53" applyNumberFormat="1" applyFont="1" applyFill="1" applyBorder="1" applyAlignment="1">
      <alignment horizontal="center" vertical="center"/>
      <protection/>
    </xf>
    <xf numFmtId="196" fontId="12" fillId="0" borderId="11" xfId="54" applyNumberFormat="1" applyFont="1" applyBorder="1" applyAlignment="1">
      <alignment horizontal="center" vertical="center"/>
      <protection/>
    </xf>
    <xf numFmtId="196" fontId="12" fillId="19" borderId="11" xfId="54" applyNumberFormat="1" applyFont="1" applyFill="1" applyBorder="1" applyAlignment="1">
      <alignment horizontal="center" vertical="center"/>
      <protection/>
    </xf>
    <xf numFmtId="0" fontId="4" fillId="19" borderId="11" xfId="57" applyNumberFormat="1" applyFont="1" applyFill="1" applyBorder="1" applyAlignment="1">
      <alignment horizontal="center" vertical="center"/>
      <protection/>
    </xf>
    <xf numFmtId="189" fontId="4" fillId="19" borderId="11" xfId="57" applyNumberFormat="1" applyFont="1" applyFill="1" applyBorder="1" applyAlignment="1">
      <alignment horizontal="center" vertical="center"/>
      <protection/>
    </xf>
    <xf numFmtId="10" fontId="7" fillId="0" borderId="0" xfId="61" applyNumberFormat="1" applyFont="1" applyBorder="1" applyAlignment="1">
      <alignment horizontal="left" wrapText="1"/>
    </xf>
    <xf numFmtId="10" fontId="7" fillId="0" borderId="0" xfId="61" applyNumberFormat="1" applyFont="1" applyBorder="1" applyAlignment="1">
      <alignment wrapText="1"/>
    </xf>
    <xf numFmtId="10" fontId="7" fillId="0" borderId="0" xfId="61" applyNumberFormat="1" applyFont="1" applyBorder="1" applyAlignment="1">
      <alignment horizontal="center" vertical="center"/>
    </xf>
    <xf numFmtId="10" fontId="7" fillId="0" borderId="0" xfId="61" applyNumberFormat="1" applyFont="1" applyBorder="1" applyAlignment="1">
      <alignment horizontal="left" vertical="center"/>
    </xf>
    <xf numFmtId="10" fontId="2" fillId="0" borderId="0" xfId="61" applyNumberFormat="1" applyFont="1" applyBorder="1" applyAlignment="1">
      <alignment/>
    </xf>
    <xf numFmtId="10" fontId="2" fillId="0" borderId="0" xfId="61" applyNumberFormat="1" applyFont="1" applyBorder="1" applyAlignment="1">
      <alignment vertical="center"/>
    </xf>
    <xf numFmtId="10" fontId="7" fillId="13" borderId="11" xfId="61" applyNumberFormat="1" applyFont="1" applyFill="1" applyBorder="1" applyAlignment="1">
      <alignment horizontal="center" vertical="center"/>
    </xf>
    <xf numFmtId="10" fontId="7" fillId="19" borderId="13" xfId="61" applyNumberFormat="1" applyFont="1" applyFill="1" applyBorder="1" applyAlignment="1">
      <alignment horizontal="right" vertical="center"/>
    </xf>
    <xf numFmtId="10" fontId="6" fillId="0" borderId="13" xfId="61" applyNumberFormat="1" applyFont="1" applyFill="1" applyBorder="1" applyAlignment="1">
      <alignment horizontal="right" vertical="center"/>
    </xf>
    <xf numFmtId="10" fontId="7" fillId="0" borderId="17" xfId="61" applyNumberFormat="1" applyFont="1" applyFill="1" applyBorder="1" applyAlignment="1">
      <alignment vertical="center"/>
    </xf>
    <xf numFmtId="10" fontId="2" fillId="19" borderId="0" xfId="61" applyNumberFormat="1" applyFont="1" applyFill="1" applyBorder="1" applyAlignment="1">
      <alignment vertical="center"/>
    </xf>
    <xf numFmtId="10" fontId="4" fillId="0" borderId="0" xfId="61" applyNumberFormat="1" applyFont="1" applyBorder="1" applyAlignment="1">
      <alignment/>
    </xf>
    <xf numFmtId="10" fontId="3" fillId="0" borderId="0" xfId="61" applyNumberFormat="1" applyFont="1" applyBorder="1" applyAlignment="1">
      <alignment/>
    </xf>
    <xf numFmtId="10" fontId="6" fillId="0" borderId="13" xfId="61" applyNumberFormat="1" applyFont="1" applyFill="1" applyBorder="1" applyAlignment="1">
      <alignment vertical="center"/>
    </xf>
    <xf numFmtId="0" fontId="6" fillId="0" borderId="24" xfId="0" applyFont="1" applyBorder="1" applyAlignment="1">
      <alignment horizontal="right" vertical="center"/>
    </xf>
    <xf numFmtId="196" fontId="2" fillId="0" borderId="0" xfId="0" applyNumberFormat="1" applyFont="1" applyAlignment="1">
      <alignment/>
    </xf>
    <xf numFmtId="201" fontId="2" fillId="0" borderId="0" xfId="0" applyNumberFormat="1" applyFont="1" applyAlignment="1">
      <alignment vertical="center"/>
    </xf>
    <xf numFmtId="190" fontId="0" fillId="0" borderId="11" xfId="50" applyNumberFormat="1" applyFont="1" applyFill="1" applyBorder="1" applyAlignment="1">
      <alignment horizontal="center" vertical="center"/>
    </xf>
    <xf numFmtId="190" fontId="2" fillId="0" borderId="0" xfId="0" applyNumberFormat="1" applyFont="1" applyAlignment="1">
      <alignment/>
    </xf>
  </cellXfs>
  <cellStyles count="5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3" xfId="50"/>
    <cellStyle name="Moeda 6" xfId="51"/>
    <cellStyle name="Neutra" xfId="52"/>
    <cellStyle name="Normal 10" xfId="53"/>
    <cellStyle name="Normal 11 2" xfId="54"/>
    <cellStyle name="Normal 12" xfId="55"/>
    <cellStyle name="Normal 2" xfId="56"/>
    <cellStyle name="Normal 2 2 2 2" xfId="57"/>
    <cellStyle name="Normal 20" xfId="58"/>
    <cellStyle name="Normal 5 2 2" xfId="59"/>
    <cellStyle name="Nota" xfId="60"/>
    <cellStyle name="Percent" xfId="61"/>
    <cellStyle name="Saída" xfId="62"/>
    <cellStyle name="Comma [0]" xfId="63"/>
    <cellStyle name="Texto de Aviso" xfId="64"/>
    <cellStyle name="Texto Explicativo" xfId="65"/>
    <cellStyle name="Título" xfId="66"/>
    <cellStyle name="Título 1" xfId="67"/>
    <cellStyle name="Título 2" xfId="68"/>
    <cellStyle name="Título 3" xfId="69"/>
    <cellStyle name="Título 4" xfId="70"/>
    <cellStyle name="Total" xfId="71"/>
    <cellStyle name="Comma" xfId="72"/>
  </cellStyles>
  <dxfs count="30">
    <dxf>
      <font>
        <color theme="1"/>
      </font>
      <fill>
        <patternFill patternType="solid">
          <fgColor indexed="65"/>
          <bgColor rgb="FFE8E8E8"/>
        </patternFill>
      </fill>
    </dxf>
    <dxf>
      <font>
        <color theme="1"/>
      </font>
      <fill>
        <patternFill patternType="solid">
          <fgColor indexed="65"/>
          <bgColor theme="0" tint="-0.14986999332904816"/>
        </patternFill>
      </fill>
    </dxf>
    <dxf>
      <font>
        <color theme="1"/>
      </font>
      <fill>
        <patternFill patternType="solid">
          <fgColor indexed="65"/>
          <bgColor theme="0" tint="-0.24993999302387238"/>
        </patternFill>
      </fill>
    </dxf>
    <dxf>
      <font>
        <b/>
        <i val="0"/>
        <color theme="0"/>
      </font>
      <fill>
        <patternFill patternType="solid">
          <fgColor indexed="65"/>
          <bgColor theme="8" tint="-0.4999699890613556"/>
        </patternFill>
      </fill>
    </dxf>
    <dxf>
      <font>
        <color theme="1"/>
      </font>
      <fill>
        <patternFill patternType="solid">
          <fgColor indexed="65"/>
          <bgColor rgb="FFE8E8E8"/>
        </patternFill>
      </fill>
    </dxf>
    <dxf>
      <font>
        <color theme="1"/>
      </font>
      <fill>
        <patternFill patternType="solid">
          <fgColor indexed="65"/>
          <bgColor theme="0" tint="-0.14986999332904816"/>
        </patternFill>
      </fill>
    </dxf>
    <dxf>
      <font>
        <color theme="1"/>
      </font>
      <fill>
        <patternFill patternType="solid">
          <fgColor indexed="65"/>
          <bgColor theme="0" tint="-0.24993999302387238"/>
        </patternFill>
      </fill>
    </dxf>
    <dxf>
      <font>
        <b/>
        <i val="0"/>
        <color theme="0"/>
      </font>
      <fill>
        <patternFill patternType="solid">
          <fgColor indexed="65"/>
          <bgColor theme="8" tint="-0.4999699890613556"/>
        </patternFill>
      </fill>
    </dxf>
    <dxf>
      <font>
        <color theme="1"/>
      </font>
      <fill>
        <patternFill patternType="solid">
          <fgColor indexed="65"/>
          <bgColor rgb="FFE8E8E8"/>
        </patternFill>
      </fill>
    </dxf>
    <dxf>
      <font>
        <color theme="1"/>
      </font>
      <fill>
        <patternFill patternType="solid">
          <fgColor indexed="65"/>
          <bgColor theme="0" tint="-0.14986999332904816"/>
        </patternFill>
      </fill>
    </dxf>
    <dxf>
      <font>
        <color theme="1"/>
      </font>
      <fill>
        <patternFill patternType="solid">
          <fgColor indexed="65"/>
          <bgColor theme="0" tint="-0.24993999302387238"/>
        </patternFill>
      </fill>
    </dxf>
    <dxf>
      <font>
        <b/>
        <i val="0"/>
        <color theme="0"/>
      </font>
      <fill>
        <patternFill patternType="solid">
          <fgColor indexed="65"/>
          <bgColor theme="8" tint="-0.4999699890613556"/>
        </patternFill>
      </fill>
    </dxf>
    <dxf>
      <font>
        <color theme="1"/>
      </font>
      <fill>
        <patternFill patternType="solid">
          <fgColor indexed="65"/>
          <bgColor rgb="FFE8E8E8"/>
        </patternFill>
      </fill>
    </dxf>
    <dxf>
      <font>
        <color theme="1"/>
      </font>
      <fill>
        <patternFill patternType="solid">
          <fgColor indexed="65"/>
          <bgColor theme="0" tint="-0.14986999332904816"/>
        </patternFill>
      </fill>
    </dxf>
    <dxf>
      <font>
        <color theme="1"/>
      </font>
      <fill>
        <patternFill patternType="solid">
          <fgColor indexed="65"/>
          <bgColor theme="0" tint="-0.24993999302387238"/>
        </patternFill>
      </fill>
    </dxf>
    <dxf>
      <font>
        <b/>
        <i val="0"/>
        <color theme="0"/>
      </font>
      <fill>
        <patternFill patternType="solid">
          <fgColor indexed="65"/>
          <bgColor theme="8" tint="-0.4999699890613556"/>
        </patternFill>
      </fill>
    </dxf>
    <dxf>
      <font>
        <color theme="1"/>
      </font>
      <fill>
        <patternFill patternType="solid">
          <fgColor indexed="65"/>
          <bgColor rgb="FFE8E8E8"/>
        </patternFill>
      </fill>
    </dxf>
    <dxf>
      <font>
        <color theme="1"/>
      </font>
      <fill>
        <patternFill patternType="solid">
          <fgColor indexed="65"/>
          <bgColor theme="0" tint="-0.14986999332904816"/>
        </patternFill>
      </fill>
    </dxf>
    <dxf>
      <font>
        <color theme="1"/>
      </font>
      <fill>
        <patternFill patternType="solid">
          <fgColor indexed="65"/>
          <bgColor theme="0" tint="-0.24993999302387238"/>
        </patternFill>
      </fill>
    </dxf>
    <dxf>
      <font>
        <b/>
        <i val="0"/>
        <color theme="0"/>
      </font>
      <fill>
        <patternFill patternType="solid">
          <fgColor indexed="65"/>
          <bgColor theme="8" tint="-0.4999699890613556"/>
        </patternFill>
      </fill>
    </dxf>
    <dxf>
      <font>
        <color theme="1"/>
      </font>
      <fill>
        <patternFill patternType="solid">
          <fgColor indexed="65"/>
          <bgColor rgb="FFE8E8E8"/>
        </patternFill>
      </fill>
    </dxf>
    <dxf>
      <font>
        <color theme="1"/>
      </font>
      <fill>
        <patternFill patternType="solid">
          <fgColor indexed="65"/>
          <bgColor theme="0" tint="-0.14986999332904816"/>
        </patternFill>
      </fill>
    </dxf>
    <dxf>
      <font>
        <color theme="1"/>
      </font>
      <fill>
        <patternFill patternType="solid">
          <fgColor indexed="65"/>
          <bgColor theme="0" tint="-0.24993999302387238"/>
        </patternFill>
      </fill>
    </dxf>
    <dxf>
      <font>
        <b/>
        <i val="0"/>
        <color theme="0"/>
      </font>
      <fill>
        <patternFill patternType="solid">
          <fgColor indexed="65"/>
          <bgColor theme="8" tint="-0.4999699890613556"/>
        </patternFill>
      </fill>
    </dxf>
    <dxf>
      <font>
        <color theme="1"/>
      </font>
      <fill>
        <patternFill patternType="solid">
          <fgColor indexed="65"/>
          <bgColor rgb="FFE8E8E8"/>
        </patternFill>
      </fill>
    </dxf>
    <dxf>
      <font>
        <color theme="1"/>
      </font>
      <fill>
        <patternFill patternType="solid">
          <fgColor indexed="65"/>
          <bgColor theme="0" tint="-0.14986999332904816"/>
        </patternFill>
      </fill>
    </dxf>
    <dxf>
      <font>
        <color theme="1"/>
      </font>
      <fill>
        <patternFill patternType="solid">
          <fgColor indexed="65"/>
          <bgColor theme="0" tint="-0.24993999302387238"/>
        </patternFill>
      </fill>
    </dxf>
    <dxf>
      <font>
        <b/>
        <i val="0"/>
        <color theme="0"/>
      </font>
      <fill>
        <patternFill patternType="solid">
          <fgColor indexed="65"/>
          <bgColor theme="8" tint="-0.4999699890613556"/>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942975</xdr:colOff>
      <xdr:row>0</xdr:row>
      <xdr:rowOff>0</xdr:rowOff>
    </xdr:from>
    <xdr:to>
      <xdr:col>5</xdr:col>
      <xdr:colOff>66675</xdr:colOff>
      <xdr:row>0</xdr:row>
      <xdr:rowOff>657225</xdr:rowOff>
    </xdr:to>
    <xdr:pic>
      <xdr:nvPicPr>
        <xdr:cNvPr id="1" name="Imagem 1"/>
        <xdr:cNvPicPr preferRelativeResize="1">
          <a:picLocks noChangeAspect="1"/>
        </xdr:cNvPicPr>
      </xdr:nvPicPr>
      <xdr:blipFill>
        <a:blip r:embed="rId1"/>
        <a:stretch>
          <a:fillRect/>
        </a:stretch>
      </xdr:blipFill>
      <xdr:spPr>
        <a:xfrm>
          <a:off x="2133600" y="0"/>
          <a:ext cx="244792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685800</xdr:colOff>
      <xdr:row>0</xdr:row>
      <xdr:rowOff>0</xdr:rowOff>
    </xdr:from>
    <xdr:to>
      <xdr:col>6</xdr:col>
      <xdr:colOff>76200</xdr:colOff>
      <xdr:row>0</xdr:row>
      <xdr:rowOff>657225</xdr:rowOff>
    </xdr:to>
    <xdr:pic>
      <xdr:nvPicPr>
        <xdr:cNvPr id="1" name="Imagem 1"/>
        <xdr:cNvPicPr preferRelativeResize="1">
          <a:picLocks noChangeAspect="1"/>
        </xdr:cNvPicPr>
      </xdr:nvPicPr>
      <xdr:blipFill>
        <a:blip r:embed="rId1"/>
        <a:stretch>
          <a:fillRect/>
        </a:stretch>
      </xdr:blipFill>
      <xdr:spPr>
        <a:xfrm>
          <a:off x="2428875" y="0"/>
          <a:ext cx="24479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1381125</xdr:colOff>
      <xdr:row>0</xdr:row>
      <xdr:rowOff>57150</xdr:rowOff>
    </xdr:from>
    <xdr:to>
      <xdr:col>5</xdr:col>
      <xdr:colOff>295275</xdr:colOff>
      <xdr:row>0</xdr:row>
      <xdr:rowOff>714375</xdr:rowOff>
    </xdr:to>
    <xdr:pic>
      <xdr:nvPicPr>
        <xdr:cNvPr id="1" name="Imagem 1"/>
        <xdr:cNvPicPr preferRelativeResize="1">
          <a:picLocks noChangeAspect="1"/>
        </xdr:cNvPicPr>
      </xdr:nvPicPr>
      <xdr:blipFill>
        <a:blip r:embed="rId1"/>
        <a:stretch>
          <a:fillRect/>
        </a:stretch>
      </xdr:blipFill>
      <xdr:spPr>
        <a:xfrm>
          <a:off x="2171700" y="57150"/>
          <a:ext cx="24574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1409700</xdr:colOff>
      <xdr:row>0</xdr:row>
      <xdr:rowOff>38100</xdr:rowOff>
    </xdr:from>
    <xdr:to>
      <xdr:col>4</xdr:col>
      <xdr:colOff>304800</xdr:colOff>
      <xdr:row>0</xdr:row>
      <xdr:rowOff>695325</xdr:rowOff>
    </xdr:to>
    <xdr:pic>
      <xdr:nvPicPr>
        <xdr:cNvPr id="1" name="Imagem 1"/>
        <xdr:cNvPicPr preferRelativeResize="1">
          <a:picLocks noChangeAspect="1"/>
        </xdr:cNvPicPr>
      </xdr:nvPicPr>
      <xdr:blipFill>
        <a:blip r:embed="rId1"/>
        <a:stretch>
          <a:fillRect/>
        </a:stretch>
      </xdr:blipFill>
      <xdr:spPr>
        <a:xfrm>
          <a:off x="2390775" y="38100"/>
          <a:ext cx="2457450"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1266825</xdr:colOff>
      <xdr:row>0</xdr:row>
      <xdr:rowOff>47625</xdr:rowOff>
    </xdr:from>
    <xdr:to>
      <xdr:col>3</xdr:col>
      <xdr:colOff>76200</xdr:colOff>
      <xdr:row>0</xdr:row>
      <xdr:rowOff>704850</xdr:rowOff>
    </xdr:to>
    <xdr:pic>
      <xdr:nvPicPr>
        <xdr:cNvPr id="1" name="Imagem 1"/>
        <xdr:cNvPicPr preferRelativeResize="1">
          <a:picLocks noChangeAspect="1"/>
        </xdr:cNvPicPr>
      </xdr:nvPicPr>
      <xdr:blipFill>
        <a:blip r:embed="rId1"/>
        <a:stretch>
          <a:fillRect/>
        </a:stretch>
      </xdr:blipFill>
      <xdr:spPr>
        <a:xfrm>
          <a:off x="2562225" y="47625"/>
          <a:ext cx="24574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ngenharia\Desktop\Planilha%20de%20BDI%20-%20&#211;rg&#227;o%20P&#250;blic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DI-SERVIÇOS"/>
      <sheetName val="% de BDI "/>
      <sheetName val="Planilha3"/>
      <sheetName val="Plan1"/>
    </sheetNames>
    <sheetDataSet>
      <sheetData sheetId="0">
        <row r="11">
          <cell r="R11" t="str">
            <v>CONSTRUÇÃO DE EDIFÍCIOS</v>
          </cell>
        </row>
      </sheetData>
      <sheetData sheetId="1">
        <row r="4">
          <cell r="A4" t="str">
            <v>CONSTRUÇÃO DE EDIFÍCIOS</v>
          </cell>
        </row>
        <row r="6">
          <cell r="I6">
            <v>0.03</v>
          </cell>
          <cell r="J6">
            <v>0.04</v>
          </cell>
          <cell r="K6">
            <v>0.055</v>
          </cell>
        </row>
        <row r="7">
          <cell r="I7">
            <v>0.008</v>
          </cell>
          <cell r="J7">
            <v>0.008</v>
          </cell>
          <cell r="K7">
            <v>0.01</v>
          </cell>
        </row>
        <row r="8">
          <cell r="I8">
            <v>0.0097</v>
          </cell>
          <cell r="J8">
            <v>0.0127</v>
          </cell>
          <cell r="K8">
            <v>0.0127</v>
          </cell>
        </row>
        <row r="9">
          <cell r="I9">
            <v>0.0059</v>
          </cell>
          <cell r="J9">
            <v>0.0123</v>
          </cell>
          <cell r="K9">
            <v>0.0139</v>
          </cell>
        </row>
        <row r="10">
          <cell r="I10">
            <v>0.0616</v>
          </cell>
          <cell r="J10">
            <v>0.074</v>
          </cell>
          <cell r="K10">
            <v>0.0896</v>
          </cell>
        </row>
        <row r="17">
          <cell r="I17">
            <v>0.2034</v>
          </cell>
          <cell r="J17">
            <v>0.2212</v>
          </cell>
          <cell r="K17">
            <v>0.25</v>
          </cell>
        </row>
        <row r="21">
          <cell r="A21" t="str">
            <v>CONSTRUÇÃO DE RODOVIAS E FERROVIAS</v>
          </cell>
        </row>
        <row r="23">
          <cell r="I23">
            <v>0.038</v>
          </cell>
          <cell r="J23">
            <v>0.0401</v>
          </cell>
          <cell r="K23">
            <v>0.0467</v>
          </cell>
        </row>
        <row r="24">
          <cell r="I24">
            <v>0.0032</v>
          </cell>
          <cell r="J24">
            <v>0.004</v>
          </cell>
          <cell r="K24">
            <v>0.0074</v>
          </cell>
        </row>
        <row r="25">
          <cell r="I25">
            <v>0.005</v>
          </cell>
          <cell r="J25">
            <v>0.0056</v>
          </cell>
          <cell r="K25">
            <v>0.0097</v>
          </cell>
        </row>
        <row r="26">
          <cell r="I26">
            <v>0.0102</v>
          </cell>
          <cell r="J26">
            <v>0.0111</v>
          </cell>
          <cell r="K26">
            <v>0.0121</v>
          </cell>
        </row>
        <row r="27">
          <cell r="I27">
            <v>0.0664</v>
          </cell>
          <cell r="J27">
            <v>0.073</v>
          </cell>
          <cell r="K27">
            <v>0.0869</v>
          </cell>
        </row>
        <row r="34">
          <cell r="I34">
            <v>0.196</v>
          </cell>
          <cell r="J34">
            <v>0.2097</v>
          </cell>
          <cell r="K34">
            <v>0.2423</v>
          </cell>
        </row>
        <row r="38">
          <cell r="A38" t="str">
            <v>CONST. REDES DE ABAST. ÁGUA, COLETA DE ESGOTO E CONST. CORRELATAS</v>
          </cell>
        </row>
        <row r="40">
          <cell r="I40">
            <v>0.0343</v>
          </cell>
          <cell r="J40">
            <v>0.0493</v>
          </cell>
          <cell r="K40">
            <v>0.0671</v>
          </cell>
        </row>
        <row r="41">
          <cell r="I41">
            <v>0.0028</v>
          </cell>
          <cell r="J41">
            <v>0.0049</v>
          </cell>
          <cell r="K41">
            <v>0.0075</v>
          </cell>
        </row>
        <row r="42">
          <cell r="I42">
            <v>0.01</v>
          </cell>
          <cell r="J42">
            <v>0.0139</v>
          </cell>
          <cell r="K42">
            <v>0.0174</v>
          </cell>
        </row>
        <row r="43">
          <cell r="I43">
            <v>0.0094</v>
          </cell>
          <cell r="J43">
            <v>0.0099</v>
          </cell>
          <cell r="K43">
            <v>0.0117</v>
          </cell>
        </row>
        <row r="44">
          <cell r="I44">
            <v>0.0674</v>
          </cell>
          <cell r="J44">
            <v>0.0804</v>
          </cell>
          <cell r="K44">
            <v>0.094</v>
          </cell>
        </row>
        <row r="51">
          <cell r="I51">
            <v>0.2076</v>
          </cell>
          <cell r="J51">
            <v>0.2418</v>
          </cell>
          <cell r="K51">
            <v>0.2644</v>
          </cell>
        </row>
        <row r="55">
          <cell r="A55" t="str">
            <v>CONST. E MANUT. ESTAÇ. E REDES DE DIST. ENERGIA ELÉTRICA</v>
          </cell>
        </row>
        <row r="57">
          <cell r="I57">
            <v>0.0529</v>
          </cell>
          <cell r="J57">
            <v>0.0592</v>
          </cell>
          <cell r="K57">
            <v>0.0793</v>
          </cell>
        </row>
        <row r="58">
          <cell r="I58">
            <v>0.0025</v>
          </cell>
          <cell r="J58">
            <v>0.0051</v>
          </cell>
          <cell r="K58">
            <v>0.0056</v>
          </cell>
        </row>
        <row r="59">
          <cell r="I59">
            <v>0.01</v>
          </cell>
          <cell r="J59">
            <v>0.0148</v>
          </cell>
          <cell r="K59">
            <v>0.0197</v>
          </cell>
        </row>
        <row r="60">
          <cell r="I60">
            <v>0.0101</v>
          </cell>
          <cell r="J60">
            <v>0.0107</v>
          </cell>
          <cell r="K60">
            <v>0.0111</v>
          </cell>
        </row>
        <row r="61">
          <cell r="I61">
            <v>0.08</v>
          </cell>
          <cell r="J61">
            <v>0.0831</v>
          </cell>
          <cell r="K61">
            <v>0.0951</v>
          </cell>
        </row>
        <row r="68">
          <cell r="I68">
            <v>0.24</v>
          </cell>
          <cell r="J68">
            <v>0.2584</v>
          </cell>
          <cell r="K68">
            <v>0.2786</v>
          </cell>
        </row>
        <row r="72">
          <cell r="A72" t="str">
            <v>OBRAS PORTUÁRIAS, MARÍTIMAS E FLUVIAIS</v>
          </cell>
        </row>
        <row r="74">
          <cell r="I74">
            <v>0.04</v>
          </cell>
          <cell r="J74">
            <v>0.0552</v>
          </cell>
          <cell r="K74">
            <v>0.0785</v>
          </cell>
        </row>
        <row r="75">
          <cell r="I75">
            <v>0.0081</v>
          </cell>
          <cell r="J75">
            <v>0.0122</v>
          </cell>
          <cell r="K75">
            <v>0.0199</v>
          </cell>
        </row>
        <row r="76">
          <cell r="I76">
            <v>0.0146</v>
          </cell>
          <cell r="J76">
            <v>0.0232</v>
          </cell>
          <cell r="K76">
            <v>0.0316</v>
          </cell>
        </row>
        <row r="77">
          <cell r="I77">
            <v>0.0094</v>
          </cell>
          <cell r="J77">
            <v>0.0102</v>
          </cell>
          <cell r="K77">
            <v>0.0133</v>
          </cell>
        </row>
        <row r="78">
          <cell r="I78">
            <v>0.0714</v>
          </cell>
          <cell r="J78">
            <v>0.084</v>
          </cell>
          <cell r="K78">
            <v>0.1043</v>
          </cell>
        </row>
        <row r="85">
          <cell r="I85">
            <v>0.228</v>
          </cell>
          <cell r="J85">
            <v>0.2748</v>
          </cell>
          <cell r="K85">
            <v>0.3095</v>
          </cell>
        </row>
      </sheetData>
      <sheetData sheetId="2">
        <row r="4">
          <cell r="C4" t="str">
            <v>DESONERADO</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101"/>
  <sheetViews>
    <sheetView showGridLines="0" view="pageBreakPreview" zoomScale="115" zoomScaleSheetLayoutView="115" zoomScalePageLayoutView="0" workbookViewId="0" topLeftCell="A91">
      <selection activeCell="U106" sqref="U106"/>
    </sheetView>
  </sheetViews>
  <sheetFormatPr defaultColWidth="11.57421875" defaultRowHeight="12" customHeight="1"/>
  <cols>
    <col min="1" max="1" width="5.28125" style="1" bestFit="1" customWidth="1"/>
    <col min="2" max="2" width="6.00390625" style="1" customWidth="1"/>
    <col min="3" max="3" width="6.57421875" style="122" customWidth="1"/>
    <col min="4" max="4" width="43.8515625" style="1" customWidth="1"/>
    <col min="5" max="5" width="6.00390625" style="1" customWidth="1"/>
    <col min="6" max="6" width="7.140625" style="1" customWidth="1"/>
    <col min="7" max="8" width="10.140625" style="1" bestFit="1" customWidth="1"/>
    <col min="9" max="9" width="10.8515625" style="1" bestFit="1" customWidth="1"/>
    <col min="10" max="10" width="7.421875" style="1" customWidth="1"/>
    <col min="11" max="11" width="7.140625" style="1" customWidth="1"/>
    <col min="12" max="13" width="10.140625" style="261" bestFit="1" customWidth="1"/>
    <col min="14" max="14" width="10.8515625" style="261" bestFit="1" customWidth="1"/>
    <col min="15" max="15" width="5.421875" style="1" customWidth="1"/>
    <col min="16" max="17" width="10.140625" style="261" bestFit="1" customWidth="1"/>
    <col min="18" max="18" width="10.8515625" style="261" bestFit="1" customWidth="1"/>
    <col min="19" max="19" width="10.8515625" style="405" bestFit="1" customWidth="1"/>
    <col min="20" max="20" width="8.28125" style="1" customWidth="1"/>
    <col min="21" max="22" width="11.57421875" style="1" customWidth="1"/>
    <col min="23" max="23" width="11.28125" style="1" customWidth="1"/>
    <col min="24" max="16384" width="11.57421875" style="1" customWidth="1"/>
  </cols>
  <sheetData>
    <row r="1" spans="1:19" ht="55.5" customHeight="1">
      <c r="A1" s="185"/>
      <c r="B1" s="185"/>
      <c r="C1" s="185"/>
      <c r="D1" s="185"/>
      <c r="E1" s="185"/>
      <c r="F1" s="185"/>
      <c r="G1" s="185"/>
      <c r="H1" s="185"/>
      <c r="I1" s="185"/>
      <c r="J1" s="185"/>
      <c r="K1" s="185"/>
      <c r="L1" s="292"/>
      <c r="M1" s="292"/>
      <c r="N1" s="292"/>
      <c r="P1" s="292"/>
      <c r="Q1" s="292"/>
      <c r="R1" s="292"/>
      <c r="S1" s="401"/>
    </row>
    <row r="2" spans="1:19" ht="40.5" customHeight="1">
      <c r="A2" s="184" t="s">
        <v>481</v>
      </c>
      <c r="B2" s="184"/>
      <c r="C2" s="184"/>
      <c r="D2" s="184"/>
      <c r="E2" s="184"/>
      <c r="F2" s="184"/>
      <c r="G2" s="184"/>
      <c r="H2" s="184"/>
      <c r="I2" s="184"/>
      <c r="J2" s="253"/>
      <c r="K2" s="253"/>
      <c r="L2" s="287"/>
      <c r="M2" s="287"/>
      <c r="N2" s="287"/>
      <c r="P2" s="287"/>
      <c r="Q2" s="287"/>
      <c r="R2" s="287"/>
      <c r="S2" s="402"/>
    </row>
    <row r="3" spans="1:19" ht="13.5" customHeight="1">
      <c r="A3" s="186" t="s">
        <v>482</v>
      </c>
      <c r="B3" s="186"/>
      <c r="C3" s="186"/>
      <c r="D3" s="186"/>
      <c r="E3" s="186"/>
      <c r="F3" s="186"/>
      <c r="G3" s="186"/>
      <c r="H3" s="186"/>
      <c r="I3" s="186"/>
      <c r="J3" s="30"/>
      <c r="K3" s="31"/>
      <c r="L3" s="270"/>
      <c r="M3" s="270"/>
      <c r="N3" s="270"/>
      <c r="P3" s="270"/>
      <c r="Q3" s="270"/>
      <c r="R3" s="270"/>
      <c r="S3" s="403"/>
    </row>
    <row r="4" spans="1:19" ht="13.5" customHeight="1">
      <c r="A4" s="186" t="s">
        <v>483</v>
      </c>
      <c r="B4" s="186"/>
      <c r="C4" s="186"/>
      <c r="D4" s="186"/>
      <c r="E4" s="186"/>
      <c r="F4" s="186"/>
      <c r="G4" s="186"/>
      <c r="H4" s="186"/>
      <c r="I4" s="186"/>
      <c r="J4" s="30"/>
      <c r="K4" s="31"/>
      <c r="L4" s="270"/>
      <c r="M4" s="270"/>
      <c r="N4" s="270"/>
      <c r="P4" s="270"/>
      <c r="Q4" s="270"/>
      <c r="R4" s="270"/>
      <c r="S4" s="403"/>
    </row>
    <row r="5" spans="1:19" ht="12" customHeight="1">
      <c r="A5" s="157" t="s">
        <v>101</v>
      </c>
      <c r="B5" s="157"/>
      <c r="C5" s="157" t="s">
        <v>331</v>
      </c>
      <c r="D5" s="157"/>
      <c r="E5" s="157"/>
      <c r="F5" s="157"/>
      <c r="G5" s="157"/>
      <c r="H5" s="32"/>
      <c r="I5" s="33"/>
      <c r="J5" s="34"/>
      <c r="K5" s="24"/>
      <c r="L5" s="285"/>
      <c r="M5" s="271"/>
      <c r="N5" s="379"/>
      <c r="P5" s="285"/>
      <c r="Q5" s="271"/>
      <c r="R5" s="379"/>
      <c r="S5" s="403"/>
    </row>
    <row r="6" spans="1:19" ht="12" customHeight="1">
      <c r="A6" s="254" t="s">
        <v>212</v>
      </c>
      <c r="B6" s="254"/>
      <c r="C6" s="254"/>
      <c r="D6" s="254"/>
      <c r="E6" s="254"/>
      <c r="F6" s="254"/>
      <c r="G6" s="254"/>
      <c r="H6" s="160" t="s">
        <v>181</v>
      </c>
      <c r="I6" s="159">
        <f>BDI!I28</f>
        <v>0.2927</v>
      </c>
      <c r="J6" s="254"/>
      <c r="K6" s="254"/>
      <c r="L6" s="286"/>
      <c r="M6" s="160"/>
      <c r="N6" s="159"/>
      <c r="P6" s="286"/>
      <c r="Q6" s="160"/>
      <c r="R6" s="159"/>
      <c r="S6" s="404"/>
    </row>
    <row r="7" spans="1:16" ht="9" customHeight="1">
      <c r="A7" s="255"/>
      <c r="B7" s="255"/>
      <c r="C7" s="255"/>
      <c r="D7" s="255"/>
      <c r="E7" s="255"/>
      <c r="F7" s="255"/>
      <c r="G7" s="255"/>
      <c r="K7" s="5"/>
      <c r="L7" s="255"/>
      <c r="O7" s="3"/>
      <c r="P7" s="255"/>
    </row>
    <row r="8" spans="1:19" ht="15" customHeight="1">
      <c r="A8" s="257" t="s">
        <v>484</v>
      </c>
      <c r="B8" s="257"/>
      <c r="C8" s="257"/>
      <c r="D8" s="257"/>
      <c r="E8" s="257"/>
      <c r="F8" s="257"/>
      <c r="G8" s="257"/>
      <c r="H8" s="257"/>
      <c r="I8" s="257"/>
      <c r="J8" s="11" t="s">
        <v>28</v>
      </c>
      <c r="K8" s="3"/>
      <c r="L8" s="262"/>
      <c r="M8" s="262"/>
      <c r="N8" s="262"/>
      <c r="O8" s="3"/>
      <c r="P8" s="262"/>
      <c r="Q8" s="262"/>
      <c r="R8" s="262"/>
      <c r="S8" s="406"/>
    </row>
    <row r="9" spans="1:19" ht="12" customHeight="1">
      <c r="A9" s="259" t="s">
        <v>24</v>
      </c>
      <c r="B9" s="259" t="s">
        <v>32</v>
      </c>
      <c r="C9" s="258" t="s">
        <v>29</v>
      </c>
      <c r="D9" s="259" t="s">
        <v>30</v>
      </c>
      <c r="E9" s="259" t="s">
        <v>25</v>
      </c>
      <c r="F9" s="259" t="s">
        <v>26</v>
      </c>
      <c r="G9" s="257" t="s">
        <v>27</v>
      </c>
      <c r="H9" s="257" t="s">
        <v>172</v>
      </c>
      <c r="I9" s="259" t="s">
        <v>23</v>
      </c>
      <c r="J9" s="114">
        <f>1+BDI!I28</f>
        <v>1.2927</v>
      </c>
      <c r="K9" s="156"/>
      <c r="L9" s="257" t="s">
        <v>27</v>
      </c>
      <c r="M9" s="257" t="s">
        <v>172</v>
      </c>
      <c r="N9" s="259" t="s">
        <v>23</v>
      </c>
      <c r="O9" s="155"/>
      <c r="P9" s="257" t="s">
        <v>27</v>
      </c>
      <c r="Q9" s="257" t="s">
        <v>172</v>
      </c>
      <c r="R9" s="259" t="s">
        <v>23</v>
      </c>
      <c r="S9" s="407"/>
    </row>
    <row r="10" spans="1:19" ht="12" customHeight="1">
      <c r="A10" s="259"/>
      <c r="B10" s="259"/>
      <c r="C10" s="258"/>
      <c r="D10" s="259"/>
      <c r="E10" s="259"/>
      <c r="F10" s="259"/>
      <c r="G10" s="257"/>
      <c r="H10" s="257"/>
      <c r="I10" s="259"/>
      <c r="J10" s="174">
        <f>I12/H96</f>
        <v>0.04328108163828003</v>
      </c>
      <c r="K10" s="173"/>
      <c r="L10" s="257"/>
      <c r="M10" s="257"/>
      <c r="N10" s="259"/>
      <c r="O10" s="173"/>
      <c r="P10" s="257"/>
      <c r="Q10" s="257"/>
      <c r="R10" s="259"/>
      <c r="S10" s="407"/>
    </row>
    <row r="11" spans="1:19" s="288" customFormat="1" ht="13.5">
      <c r="A11" s="256">
        <v>1</v>
      </c>
      <c r="B11" s="294"/>
      <c r="C11" s="295"/>
      <c r="D11" s="296" t="s">
        <v>182</v>
      </c>
      <c r="E11" s="297"/>
      <c r="F11" s="297"/>
      <c r="G11" s="298"/>
      <c r="H11" s="298"/>
      <c r="I11" s="299">
        <f>SUM(I12:I12)</f>
        <v>20863.4</v>
      </c>
      <c r="L11" s="298"/>
      <c r="M11" s="298"/>
      <c r="N11" s="299">
        <v>21044.12</v>
      </c>
      <c r="P11" s="298">
        <f>L11-G11</f>
        <v>0</v>
      </c>
      <c r="Q11" s="298">
        <f>M11-H11</f>
        <v>0</v>
      </c>
      <c r="R11" s="299">
        <f>N11-I11</f>
        <v>180.71999999999753</v>
      </c>
      <c r="S11" s="408"/>
    </row>
    <row r="12" spans="1:19" s="173" customFormat="1" ht="13.5">
      <c r="A12" s="13" t="s">
        <v>1</v>
      </c>
      <c r="B12" s="25" t="s">
        <v>100</v>
      </c>
      <c r="C12" s="119" t="s">
        <v>183</v>
      </c>
      <c r="D12" s="14" t="s">
        <v>184</v>
      </c>
      <c r="E12" s="15" t="s">
        <v>179</v>
      </c>
      <c r="F12" s="19">
        <v>1</v>
      </c>
      <c r="G12" s="115">
        <f>COMPOSIÇÕES!G16</f>
        <v>16139.4</v>
      </c>
      <c r="H12" s="116">
        <f>ROUND(G12*$J$9,2)</f>
        <v>20863.4</v>
      </c>
      <c r="I12" s="117">
        <f>ROUND(F12*H12,2)</f>
        <v>20863.4</v>
      </c>
      <c r="L12" s="115">
        <v>16279.199999999999</v>
      </c>
      <c r="M12" s="116">
        <v>21044.12</v>
      </c>
      <c r="N12" s="117">
        <v>21044.12</v>
      </c>
      <c r="P12" s="115">
        <f aca="true" t="shared" si="0" ref="P12:P75">L12-G12</f>
        <v>139.79999999999927</v>
      </c>
      <c r="Q12" s="116">
        <f aca="true" t="shared" si="1" ref="Q12:Q75">M12-H12</f>
        <v>180.71999999999753</v>
      </c>
      <c r="R12" s="117">
        <f aca="true" t="shared" si="2" ref="R12:R75">N12-I12</f>
        <v>180.71999999999753</v>
      </c>
      <c r="S12" s="409">
        <f>G12/L12</f>
        <v>0.9914123544154504</v>
      </c>
    </row>
    <row r="13" spans="1:19" s="288" customFormat="1" ht="13.5">
      <c r="A13" s="256">
        <v>2</v>
      </c>
      <c r="B13" s="294"/>
      <c r="C13" s="295"/>
      <c r="D13" s="296" t="s">
        <v>185</v>
      </c>
      <c r="E13" s="297"/>
      <c r="F13" s="297"/>
      <c r="G13" s="298"/>
      <c r="H13" s="298"/>
      <c r="I13" s="299">
        <f>SUM(I14:I14)</f>
        <v>2552.1</v>
      </c>
      <c r="K13" s="289"/>
      <c r="L13" s="298"/>
      <c r="M13" s="298"/>
      <c r="N13" s="299">
        <v>2560.68</v>
      </c>
      <c r="P13" s="298">
        <f t="shared" si="0"/>
        <v>0</v>
      </c>
      <c r="Q13" s="298">
        <f t="shared" si="1"/>
        <v>0</v>
      </c>
      <c r="R13" s="299">
        <f t="shared" si="2"/>
        <v>8.579999999999927</v>
      </c>
      <c r="S13" s="408" t="e">
        <f aca="true" t="shared" si="3" ref="S13:S76">G13/L13</f>
        <v>#DIV/0!</v>
      </c>
    </row>
    <row r="14" spans="1:19" s="173" customFormat="1" ht="27">
      <c r="A14" s="13" t="s">
        <v>2</v>
      </c>
      <c r="B14" s="25" t="s">
        <v>100</v>
      </c>
      <c r="C14" s="119" t="s">
        <v>186</v>
      </c>
      <c r="D14" s="14" t="s">
        <v>175</v>
      </c>
      <c r="E14" s="15" t="s">
        <v>177</v>
      </c>
      <c r="F14" s="19">
        <v>6</v>
      </c>
      <c r="G14" s="115">
        <f>COMPOSIÇÕES!G31</f>
        <v>329.04</v>
      </c>
      <c r="H14" s="116">
        <f>ROUND(G14*$J$9,2)</f>
        <v>425.35</v>
      </c>
      <c r="I14" s="117">
        <f>ROUND(F14*H14,2)</f>
        <v>2552.1</v>
      </c>
      <c r="L14" s="115">
        <v>330.15</v>
      </c>
      <c r="M14" s="116">
        <v>426.78</v>
      </c>
      <c r="N14" s="117">
        <v>2560.68</v>
      </c>
      <c r="P14" s="115">
        <f t="shared" si="0"/>
        <v>1.1099999999999568</v>
      </c>
      <c r="Q14" s="116">
        <f t="shared" si="1"/>
        <v>1.42999999999995</v>
      </c>
      <c r="R14" s="117">
        <f t="shared" si="2"/>
        <v>8.579999999999927</v>
      </c>
      <c r="S14" s="409">
        <f t="shared" si="3"/>
        <v>0.9966378918673332</v>
      </c>
    </row>
    <row r="15" spans="1:19" s="288" customFormat="1" ht="13.5">
      <c r="A15" s="256">
        <v>3</v>
      </c>
      <c r="B15" s="294"/>
      <c r="C15" s="295"/>
      <c r="D15" s="296" t="s">
        <v>337</v>
      </c>
      <c r="E15" s="297"/>
      <c r="F15" s="297"/>
      <c r="G15" s="298"/>
      <c r="H15" s="298"/>
      <c r="I15" s="299">
        <f>SUM(I16:I26)</f>
        <v>18811.36</v>
      </c>
      <c r="K15" s="289"/>
      <c r="L15" s="298"/>
      <c r="M15" s="298"/>
      <c r="N15" s="299">
        <v>18898.870000000003</v>
      </c>
      <c r="P15" s="298">
        <f t="shared" si="0"/>
        <v>0</v>
      </c>
      <c r="Q15" s="298">
        <f t="shared" si="1"/>
        <v>0</v>
      </c>
      <c r="R15" s="299">
        <f t="shared" si="2"/>
        <v>87.51000000000204</v>
      </c>
      <c r="S15" s="408" t="e">
        <f t="shared" si="3"/>
        <v>#DIV/0!</v>
      </c>
    </row>
    <row r="16" spans="1:19" s="3" customFormat="1" ht="54">
      <c r="A16" s="13" t="s">
        <v>3</v>
      </c>
      <c r="B16" s="25" t="s">
        <v>99</v>
      </c>
      <c r="C16" s="119" t="s">
        <v>338</v>
      </c>
      <c r="D16" s="14" t="s">
        <v>339</v>
      </c>
      <c r="E16" s="15" t="s">
        <v>213</v>
      </c>
      <c r="F16" s="19">
        <v>176</v>
      </c>
      <c r="G16" s="115">
        <f>COMPOSIÇÕES!G43</f>
        <v>5.17</v>
      </c>
      <c r="H16" s="116">
        <f>ROUND(G16*$J$9,2)</f>
        <v>6.68</v>
      </c>
      <c r="I16" s="117">
        <f aca="true" t="shared" si="4" ref="I16:I25">ROUND(F16*H16,2)</f>
        <v>1175.68</v>
      </c>
      <c r="L16" s="115">
        <v>5.18</v>
      </c>
      <c r="M16" s="116">
        <v>6.7</v>
      </c>
      <c r="N16" s="117">
        <v>1179.2</v>
      </c>
      <c r="P16" s="115">
        <f t="shared" si="0"/>
        <v>0.009999999999999787</v>
      </c>
      <c r="Q16" s="116">
        <f t="shared" si="1"/>
        <v>0.020000000000000462</v>
      </c>
      <c r="R16" s="117">
        <f t="shared" si="2"/>
        <v>3.519999999999982</v>
      </c>
      <c r="S16" s="409">
        <f t="shared" si="3"/>
        <v>0.9980694980694981</v>
      </c>
    </row>
    <row r="17" spans="1:19" s="173" customFormat="1" ht="13.5">
      <c r="A17" s="13" t="s">
        <v>13</v>
      </c>
      <c r="B17" s="25" t="s">
        <v>100</v>
      </c>
      <c r="C17" s="119" t="s">
        <v>187</v>
      </c>
      <c r="D17" s="14" t="s">
        <v>340</v>
      </c>
      <c r="E17" s="15" t="s">
        <v>177</v>
      </c>
      <c r="F17" s="19">
        <v>17.6</v>
      </c>
      <c r="G17" s="115">
        <f>COMPOSIÇÕES!G53</f>
        <v>9.639999999999999</v>
      </c>
      <c r="H17" s="116">
        <f>ROUND(G17*$J$9,2)</f>
        <v>12.46</v>
      </c>
      <c r="I17" s="117">
        <f>ROUND(F17*H17,2)</f>
        <v>219.3</v>
      </c>
      <c r="L17" s="115">
        <v>9.719999999999999</v>
      </c>
      <c r="M17" s="116">
        <v>12.57</v>
      </c>
      <c r="N17" s="117">
        <v>221.23</v>
      </c>
      <c r="P17" s="115">
        <f t="shared" si="0"/>
        <v>0.08000000000000007</v>
      </c>
      <c r="Q17" s="116">
        <f t="shared" si="1"/>
        <v>0.10999999999999943</v>
      </c>
      <c r="R17" s="117">
        <f t="shared" si="2"/>
        <v>1.9299999999999784</v>
      </c>
      <c r="S17" s="409">
        <f t="shared" si="3"/>
        <v>0.9917695473251029</v>
      </c>
    </row>
    <row r="18" spans="1:19" s="3" customFormat="1" ht="40.5">
      <c r="A18" s="13" t="s">
        <v>14</v>
      </c>
      <c r="B18" s="25" t="s">
        <v>99</v>
      </c>
      <c r="C18" s="119" t="s">
        <v>341</v>
      </c>
      <c r="D18" s="14" t="s">
        <v>342</v>
      </c>
      <c r="E18" s="15" t="s">
        <v>177</v>
      </c>
      <c r="F18" s="19">
        <v>188.65</v>
      </c>
      <c r="G18" s="115">
        <f>COMPOSIÇÕES!G66</f>
        <v>20.11</v>
      </c>
      <c r="H18" s="116">
        <f>ROUND(G18*$J$9,2)</f>
        <v>26</v>
      </c>
      <c r="I18" s="117">
        <f>ROUND(F18*H18,2)</f>
        <v>4904.9</v>
      </c>
      <c r="L18" s="115">
        <v>20.23</v>
      </c>
      <c r="M18" s="116">
        <v>26.15</v>
      </c>
      <c r="N18" s="117">
        <v>4933.2</v>
      </c>
      <c r="P18" s="115">
        <f t="shared" si="0"/>
        <v>0.120000000000001</v>
      </c>
      <c r="Q18" s="116">
        <f t="shared" si="1"/>
        <v>0.14999999999999858</v>
      </c>
      <c r="R18" s="117">
        <f t="shared" si="2"/>
        <v>28.300000000000182</v>
      </c>
      <c r="S18" s="409">
        <f t="shared" si="3"/>
        <v>0.9940682155215027</v>
      </c>
    </row>
    <row r="19" spans="1:19" s="3" customFormat="1" ht="40.5">
      <c r="A19" s="13" t="s">
        <v>191</v>
      </c>
      <c r="B19" s="25" t="s">
        <v>99</v>
      </c>
      <c r="C19" s="119" t="s">
        <v>343</v>
      </c>
      <c r="D19" s="14" t="s">
        <v>344</v>
      </c>
      <c r="E19" s="15" t="s">
        <v>177</v>
      </c>
      <c r="F19" s="19">
        <v>188.65</v>
      </c>
      <c r="G19" s="115">
        <f>COMPOSIÇÕES!G80</f>
        <v>18.87</v>
      </c>
      <c r="H19" s="116">
        <f>ROUND(G19*$J$9,2)</f>
        <v>24.39</v>
      </c>
      <c r="I19" s="117">
        <f>ROUND(F19*H19,2)</f>
        <v>4601.17</v>
      </c>
      <c r="L19" s="115">
        <v>18.95</v>
      </c>
      <c r="M19" s="116">
        <v>24.5</v>
      </c>
      <c r="N19" s="117">
        <v>4621.93</v>
      </c>
      <c r="P19" s="115">
        <f t="shared" si="0"/>
        <v>0.0799999999999983</v>
      </c>
      <c r="Q19" s="116">
        <f t="shared" si="1"/>
        <v>0.10999999999999943</v>
      </c>
      <c r="R19" s="117">
        <f t="shared" si="2"/>
        <v>20.76000000000022</v>
      </c>
      <c r="S19" s="409">
        <f t="shared" si="3"/>
        <v>0.9957783641160951</v>
      </c>
    </row>
    <row r="20" spans="1:19" s="3" customFormat="1" ht="40.5">
      <c r="A20" s="13" t="s">
        <v>192</v>
      </c>
      <c r="B20" s="25" t="s">
        <v>99</v>
      </c>
      <c r="C20" s="119" t="s">
        <v>345</v>
      </c>
      <c r="D20" s="14" t="s">
        <v>346</v>
      </c>
      <c r="E20" s="15" t="s">
        <v>177</v>
      </c>
      <c r="F20" s="19">
        <v>188.65</v>
      </c>
      <c r="G20" s="115">
        <f>COMPOSIÇÕES!G94</f>
        <v>14.56</v>
      </c>
      <c r="H20" s="116">
        <f>ROUND(G20*$J$9,2)</f>
        <v>18.82</v>
      </c>
      <c r="I20" s="117">
        <f>ROUND(F20*H20,2)</f>
        <v>3550.39</v>
      </c>
      <c r="L20" s="115">
        <v>14.6</v>
      </c>
      <c r="M20" s="116">
        <v>18.87</v>
      </c>
      <c r="N20" s="117">
        <v>3559.83</v>
      </c>
      <c r="P20" s="115">
        <f t="shared" si="0"/>
        <v>0.03999999999999915</v>
      </c>
      <c r="Q20" s="116">
        <f t="shared" si="1"/>
        <v>0.05000000000000071</v>
      </c>
      <c r="R20" s="117">
        <f t="shared" si="2"/>
        <v>9.440000000000055</v>
      </c>
      <c r="S20" s="409">
        <f t="shared" si="3"/>
        <v>0.9972602739726028</v>
      </c>
    </row>
    <row r="21" spans="1:19" s="3" customFormat="1" ht="40.5">
      <c r="A21" s="13" t="s">
        <v>193</v>
      </c>
      <c r="B21" s="25" t="s">
        <v>99</v>
      </c>
      <c r="C21" s="119" t="s">
        <v>347</v>
      </c>
      <c r="D21" s="14" t="s">
        <v>348</v>
      </c>
      <c r="E21" s="15" t="s">
        <v>177</v>
      </c>
      <c r="F21" s="19">
        <v>100.26</v>
      </c>
      <c r="G21" s="115">
        <f>COMPOSIÇÕES!G104</f>
        <v>1.31</v>
      </c>
      <c r="H21" s="116">
        <f>ROUND(G21*$J$9,2)</f>
        <v>1.69</v>
      </c>
      <c r="I21" s="117">
        <f>ROUND(F21*H21,2)</f>
        <v>169.44</v>
      </c>
      <c r="L21" s="115">
        <v>1.31</v>
      </c>
      <c r="M21" s="116">
        <v>1.69</v>
      </c>
      <c r="N21" s="117">
        <v>169.44</v>
      </c>
      <c r="P21" s="115">
        <f t="shared" si="0"/>
        <v>0</v>
      </c>
      <c r="Q21" s="116">
        <f t="shared" si="1"/>
        <v>0</v>
      </c>
      <c r="R21" s="117">
        <f t="shared" si="2"/>
        <v>0</v>
      </c>
      <c r="S21" s="409">
        <f t="shared" si="3"/>
        <v>1</v>
      </c>
    </row>
    <row r="22" spans="1:19" s="3" customFormat="1" ht="27">
      <c r="A22" s="13" t="s">
        <v>332</v>
      </c>
      <c r="B22" s="25" t="s">
        <v>99</v>
      </c>
      <c r="C22" s="119" t="s">
        <v>349</v>
      </c>
      <c r="D22" s="14" t="s">
        <v>350</v>
      </c>
      <c r="E22" s="15" t="s">
        <v>177</v>
      </c>
      <c r="F22" s="19">
        <v>2.1</v>
      </c>
      <c r="G22" s="115">
        <f>COMPOSIÇÕES!G114</f>
        <v>15.47</v>
      </c>
      <c r="H22" s="116">
        <f>ROUND(G22*$J$9,2)</f>
        <v>20</v>
      </c>
      <c r="I22" s="117">
        <f t="shared" si="4"/>
        <v>42</v>
      </c>
      <c r="L22" s="115">
        <v>15.6</v>
      </c>
      <c r="M22" s="116">
        <v>20.17</v>
      </c>
      <c r="N22" s="117">
        <v>42.36</v>
      </c>
      <c r="P22" s="115">
        <f t="shared" si="0"/>
        <v>0.129999999999999</v>
      </c>
      <c r="Q22" s="116">
        <f t="shared" si="1"/>
        <v>0.1700000000000017</v>
      </c>
      <c r="R22" s="117">
        <f t="shared" si="2"/>
        <v>0.35999999999999943</v>
      </c>
      <c r="S22" s="409">
        <f t="shared" si="3"/>
        <v>0.9916666666666667</v>
      </c>
    </row>
    <row r="23" spans="1:19" s="3" customFormat="1" ht="27">
      <c r="A23" s="13" t="s">
        <v>333</v>
      </c>
      <c r="B23" s="25" t="s">
        <v>99</v>
      </c>
      <c r="C23" s="119" t="s">
        <v>351</v>
      </c>
      <c r="D23" s="14" t="s">
        <v>352</v>
      </c>
      <c r="E23" s="15" t="s">
        <v>178</v>
      </c>
      <c r="F23" s="19">
        <v>2000</v>
      </c>
      <c r="G23" s="115">
        <f>COMPOSIÇÕES!G124</f>
        <v>0.52</v>
      </c>
      <c r="H23" s="116">
        <f>ROUND(G23*$J$9,2)</f>
        <v>0.67</v>
      </c>
      <c r="I23" s="117">
        <f t="shared" si="4"/>
        <v>1340</v>
      </c>
      <c r="L23" s="115">
        <v>0.52</v>
      </c>
      <c r="M23" s="116">
        <v>0.67</v>
      </c>
      <c r="N23" s="117">
        <v>1340</v>
      </c>
      <c r="P23" s="115">
        <f t="shared" si="0"/>
        <v>0</v>
      </c>
      <c r="Q23" s="116">
        <f t="shared" si="1"/>
        <v>0</v>
      </c>
      <c r="R23" s="117">
        <f t="shared" si="2"/>
        <v>0</v>
      </c>
      <c r="S23" s="409">
        <f t="shared" si="3"/>
        <v>1</v>
      </c>
    </row>
    <row r="24" spans="1:19" s="3" customFormat="1" ht="27">
      <c r="A24" s="13" t="s">
        <v>334</v>
      </c>
      <c r="B24" s="25" t="s">
        <v>99</v>
      </c>
      <c r="C24" s="119" t="s">
        <v>353</v>
      </c>
      <c r="D24" s="14" t="s">
        <v>354</v>
      </c>
      <c r="E24" s="15" t="s">
        <v>179</v>
      </c>
      <c r="F24" s="19">
        <v>20</v>
      </c>
      <c r="G24" s="115">
        <f>ROUND(COMPOSIÇÕES!G134,2)</f>
        <v>0.51</v>
      </c>
      <c r="H24" s="116">
        <f>ROUND(G24*$J$9,2)</f>
        <v>0.66</v>
      </c>
      <c r="I24" s="117">
        <f t="shared" si="4"/>
        <v>13.2</v>
      </c>
      <c r="L24" s="115">
        <v>0.51</v>
      </c>
      <c r="M24" s="116">
        <v>0.66</v>
      </c>
      <c r="N24" s="117">
        <v>13.2</v>
      </c>
      <c r="P24" s="115">
        <f t="shared" si="0"/>
        <v>0</v>
      </c>
      <c r="Q24" s="116">
        <f t="shared" si="1"/>
        <v>0</v>
      </c>
      <c r="R24" s="117">
        <f t="shared" si="2"/>
        <v>0</v>
      </c>
      <c r="S24" s="409">
        <f t="shared" si="3"/>
        <v>1</v>
      </c>
    </row>
    <row r="25" spans="1:19" s="3" customFormat="1" ht="27">
      <c r="A25" s="13" t="s">
        <v>335</v>
      </c>
      <c r="B25" s="25" t="s">
        <v>99</v>
      </c>
      <c r="C25" s="119" t="s">
        <v>355</v>
      </c>
      <c r="D25" s="14" t="s">
        <v>356</v>
      </c>
      <c r="E25" s="15" t="s">
        <v>179</v>
      </c>
      <c r="F25" s="19">
        <v>8</v>
      </c>
      <c r="G25" s="115">
        <f>COMPOSIÇÕES!G144</f>
        <v>6.89</v>
      </c>
      <c r="H25" s="116">
        <f>ROUND(G25*$J$9,2)</f>
        <v>8.91</v>
      </c>
      <c r="I25" s="117">
        <f t="shared" si="4"/>
        <v>71.28</v>
      </c>
      <c r="L25" s="115">
        <v>6.93</v>
      </c>
      <c r="M25" s="116">
        <v>8.96</v>
      </c>
      <c r="N25" s="117">
        <v>71.68</v>
      </c>
      <c r="P25" s="115">
        <f t="shared" si="0"/>
        <v>0.040000000000000036</v>
      </c>
      <c r="Q25" s="116">
        <f t="shared" si="1"/>
        <v>0.05000000000000071</v>
      </c>
      <c r="R25" s="117">
        <f t="shared" si="2"/>
        <v>0.4000000000000057</v>
      </c>
      <c r="S25" s="409">
        <f t="shared" si="3"/>
        <v>0.9942279942279942</v>
      </c>
    </row>
    <row r="26" spans="1:19" s="3" customFormat="1" ht="27">
      <c r="A26" s="13" t="s">
        <v>336</v>
      </c>
      <c r="B26" s="25" t="s">
        <v>99</v>
      </c>
      <c r="C26" s="119" t="s">
        <v>357</v>
      </c>
      <c r="D26" s="14" t="s">
        <v>358</v>
      </c>
      <c r="E26" s="15" t="s">
        <v>177</v>
      </c>
      <c r="F26" s="19">
        <v>120</v>
      </c>
      <c r="G26" s="115">
        <f>COMPOSIÇÕES!G154</f>
        <v>17.56</v>
      </c>
      <c r="H26" s="116">
        <f>ROUND(G26*$J$9,2)</f>
        <v>22.7</v>
      </c>
      <c r="I26" s="117">
        <f>ROUND(F26*H26,2)</f>
        <v>2724</v>
      </c>
      <c r="L26" s="115">
        <v>17.71</v>
      </c>
      <c r="M26" s="116">
        <v>22.89</v>
      </c>
      <c r="N26" s="117">
        <v>2746.8</v>
      </c>
      <c r="P26" s="115">
        <f t="shared" si="0"/>
        <v>0.15000000000000213</v>
      </c>
      <c r="Q26" s="116">
        <f t="shared" si="1"/>
        <v>0.19000000000000128</v>
      </c>
      <c r="R26" s="117">
        <f t="shared" si="2"/>
        <v>22.800000000000182</v>
      </c>
      <c r="S26" s="409">
        <f t="shared" si="3"/>
        <v>0.9915302089215131</v>
      </c>
    </row>
    <row r="27" spans="1:19" s="288" customFormat="1" ht="13.5">
      <c r="A27" s="256">
        <v>4</v>
      </c>
      <c r="B27" s="294"/>
      <c r="C27" s="295"/>
      <c r="D27" s="300" t="s">
        <v>215</v>
      </c>
      <c r="E27" s="297"/>
      <c r="F27" s="297"/>
      <c r="G27" s="298"/>
      <c r="H27" s="298"/>
      <c r="I27" s="299">
        <f>SUM(I28:I28)</f>
        <v>4250.7</v>
      </c>
      <c r="K27" s="289"/>
      <c r="L27" s="298"/>
      <c r="M27" s="298"/>
      <c r="N27" s="299">
        <v>4264.65</v>
      </c>
      <c r="P27" s="298">
        <f t="shared" si="0"/>
        <v>0</v>
      </c>
      <c r="Q27" s="298">
        <f t="shared" si="1"/>
        <v>0</v>
      </c>
      <c r="R27" s="299">
        <f t="shared" si="2"/>
        <v>13.949999999999818</v>
      </c>
      <c r="S27" s="408" t="e">
        <f t="shared" si="3"/>
        <v>#DIV/0!</v>
      </c>
    </row>
    <row r="28" spans="1:19" s="3" customFormat="1" ht="27">
      <c r="A28" s="13" t="s">
        <v>174</v>
      </c>
      <c r="B28" s="25" t="s">
        <v>99</v>
      </c>
      <c r="C28" s="119" t="s">
        <v>218</v>
      </c>
      <c r="D28" s="175" t="s">
        <v>219</v>
      </c>
      <c r="E28" s="17" t="s">
        <v>180</v>
      </c>
      <c r="F28" s="19">
        <v>45</v>
      </c>
      <c r="G28" s="118">
        <f>COMPOSIÇÕES!G168</f>
        <v>73.07</v>
      </c>
      <c r="H28" s="116">
        <f>ROUND(G28*$J$9,2)</f>
        <v>94.46</v>
      </c>
      <c r="I28" s="117">
        <f>ROUND(F28*H28,2)</f>
        <v>4250.7</v>
      </c>
      <c r="L28" s="118">
        <v>73.31</v>
      </c>
      <c r="M28" s="116">
        <v>94.77</v>
      </c>
      <c r="N28" s="117">
        <v>4264.65</v>
      </c>
      <c r="P28" s="118">
        <f t="shared" si="0"/>
        <v>0.2400000000000091</v>
      </c>
      <c r="Q28" s="116">
        <f t="shared" si="1"/>
        <v>0.3100000000000023</v>
      </c>
      <c r="R28" s="117">
        <f t="shared" si="2"/>
        <v>13.949999999999818</v>
      </c>
      <c r="S28" s="409">
        <f t="shared" si="3"/>
        <v>0.9967262310735233</v>
      </c>
    </row>
    <row r="29" spans="1:19" s="288" customFormat="1" ht="13.5">
      <c r="A29" s="256">
        <v>5</v>
      </c>
      <c r="B29" s="294"/>
      <c r="C29" s="295"/>
      <c r="D29" s="300" t="s">
        <v>359</v>
      </c>
      <c r="E29" s="297"/>
      <c r="F29" s="297"/>
      <c r="G29" s="298"/>
      <c r="H29" s="298"/>
      <c r="I29" s="299">
        <f>SUM(I30:I32)</f>
        <v>61543.19</v>
      </c>
      <c r="K29" s="289"/>
      <c r="L29" s="298"/>
      <c r="M29" s="298"/>
      <c r="N29" s="299">
        <v>61686.96000000001</v>
      </c>
      <c r="P29" s="298">
        <f t="shared" si="0"/>
        <v>0</v>
      </c>
      <c r="Q29" s="298">
        <f t="shared" si="1"/>
        <v>0</v>
      </c>
      <c r="R29" s="299">
        <f t="shared" si="2"/>
        <v>143.77000000000407</v>
      </c>
      <c r="S29" s="408" t="e">
        <f t="shared" si="3"/>
        <v>#DIV/0!</v>
      </c>
    </row>
    <row r="30" spans="1:19" s="3" customFormat="1" ht="54">
      <c r="A30" s="13" t="s">
        <v>4</v>
      </c>
      <c r="B30" s="25" t="s">
        <v>99</v>
      </c>
      <c r="C30" s="119" t="s">
        <v>360</v>
      </c>
      <c r="D30" s="175" t="s">
        <v>361</v>
      </c>
      <c r="E30" s="17" t="s">
        <v>177</v>
      </c>
      <c r="F30" s="19">
        <v>37.73</v>
      </c>
      <c r="G30" s="118">
        <f>COMPOSIÇÕES!G182</f>
        <v>14.910000000000002</v>
      </c>
      <c r="H30" s="116">
        <f>ROUND(G30*$J$9,2)</f>
        <v>19.27</v>
      </c>
      <c r="I30" s="117">
        <f>ROUND(F30*H30,2)</f>
        <v>727.06</v>
      </c>
      <c r="J30" s="6">
        <f>SUM(F30,F33)</f>
        <v>37.73</v>
      </c>
      <c r="L30" s="118">
        <v>14.91</v>
      </c>
      <c r="M30" s="116">
        <v>19.27</v>
      </c>
      <c r="N30" s="117">
        <v>727.06</v>
      </c>
      <c r="P30" s="118">
        <f t="shared" si="0"/>
        <v>0</v>
      </c>
      <c r="Q30" s="116">
        <f t="shared" si="1"/>
        <v>0</v>
      </c>
      <c r="R30" s="117">
        <f t="shared" si="2"/>
        <v>0</v>
      </c>
      <c r="S30" s="409">
        <f t="shared" si="3"/>
        <v>1.0000000000000002</v>
      </c>
    </row>
    <row r="31" spans="1:19" s="3" customFormat="1" ht="40.5">
      <c r="A31" s="13" t="s">
        <v>16</v>
      </c>
      <c r="B31" s="25" t="s">
        <v>99</v>
      </c>
      <c r="C31" s="119" t="s">
        <v>362</v>
      </c>
      <c r="D31" s="175" t="s">
        <v>363</v>
      </c>
      <c r="E31" s="17" t="s">
        <v>177</v>
      </c>
      <c r="F31" s="19">
        <v>37.73</v>
      </c>
      <c r="G31" s="118">
        <f>COMPOSIÇÕES!G195</f>
        <v>48.69</v>
      </c>
      <c r="H31" s="116">
        <f>ROUND(G31*$J$9,2)</f>
        <v>62.94</v>
      </c>
      <c r="I31" s="117">
        <f>ROUND(F31*H31,2)</f>
        <v>2374.73</v>
      </c>
      <c r="J31" s="6">
        <f>SUM(F31,F33)</f>
        <v>37.73</v>
      </c>
      <c r="L31" s="118">
        <v>48.86</v>
      </c>
      <c r="M31" s="116">
        <v>63.16</v>
      </c>
      <c r="N31" s="117">
        <v>2383.03</v>
      </c>
      <c r="P31" s="118">
        <f t="shared" si="0"/>
        <v>0.1700000000000017</v>
      </c>
      <c r="Q31" s="116">
        <f t="shared" si="1"/>
        <v>0.21999999999999886</v>
      </c>
      <c r="R31" s="117">
        <f t="shared" si="2"/>
        <v>8.300000000000182</v>
      </c>
      <c r="S31" s="409">
        <f t="shared" si="3"/>
        <v>0.9965206713057716</v>
      </c>
    </row>
    <row r="32" spans="1:19" s="3" customFormat="1" ht="13.5">
      <c r="A32" s="13" t="s">
        <v>17</v>
      </c>
      <c r="B32" s="25" t="s">
        <v>220</v>
      </c>
      <c r="C32" s="119" t="s">
        <v>364</v>
      </c>
      <c r="D32" s="175" t="s">
        <v>365</v>
      </c>
      <c r="E32" s="17" t="s">
        <v>177</v>
      </c>
      <c r="F32" s="19">
        <v>93.43</v>
      </c>
      <c r="G32" s="118">
        <f>COMPOSIÇÕES!G204</f>
        <v>483.88</v>
      </c>
      <c r="H32" s="116">
        <f>ROUND(G32*$J$9,2)</f>
        <v>625.51</v>
      </c>
      <c r="I32" s="117">
        <f>ROUND(F32*H32,2)</f>
        <v>58441.4</v>
      </c>
      <c r="J32" s="6">
        <f>SUM(F32,F34)</f>
        <v>193.43</v>
      </c>
      <c r="L32" s="118">
        <v>485</v>
      </c>
      <c r="M32" s="116">
        <v>626.96</v>
      </c>
      <c r="N32" s="117">
        <v>58576.87</v>
      </c>
      <c r="P32" s="118">
        <f t="shared" si="0"/>
        <v>1.1200000000000045</v>
      </c>
      <c r="Q32" s="116">
        <f t="shared" si="1"/>
        <v>1.4500000000000455</v>
      </c>
      <c r="R32" s="117">
        <f t="shared" si="2"/>
        <v>135.47000000000116</v>
      </c>
      <c r="S32" s="409">
        <f t="shared" si="3"/>
        <v>0.9976907216494846</v>
      </c>
    </row>
    <row r="33" spans="1:19" s="288" customFormat="1" ht="13.5">
      <c r="A33" s="256">
        <v>6</v>
      </c>
      <c r="B33" s="294"/>
      <c r="C33" s="295"/>
      <c r="D33" s="300" t="s">
        <v>228</v>
      </c>
      <c r="E33" s="297"/>
      <c r="F33" s="297"/>
      <c r="G33" s="298"/>
      <c r="H33" s="298"/>
      <c r="I33" s="299">
        <f>SUM(I34:I35)</f>
        <v>16890.6</v>
      </c>
      <c r="K33" s="289"/>
      <c r="L33" s="298"/>
      <c r="M33" s="298"/>
      <c r="N33" s="299">
        <v>16963.2</v>
      </c>
      <c r="P33" s="298">
        <f t="shared" si="0"/>
        <v>0</v>
      </c>
      <c r="Q33" s="298">
        <f t="shared" si="1"/>
        <v>0</v>
      </c>
      <c r="R33" s="299">
        <f t="shared" si="2"/>
        <v>72.60000000000218</v>
      </c>
      <c r="S33" s="408" t="e">
        <f t="shared" si="3"/>
        <v>#DIV/0!</v>
      </c>
    </row>
    <row r="34" spans="1:19" s="3" customFormat="1" ht="67.5">
      <c r="A34" s="13" t="s">
        <v>9</v>
      </c>
      <c r="B34" s="25" t="s">
        <v>99</v>
      </c>
      <c r="C34" s="119" t="s">
        <v>229</v>
      </c>
      <c r="D34" s="176" t="s">
        <v>230</v>
      </c>
      <c r="E34" s="17" t="s">
        <v>177</v>
      </c>
      <c r="F34" s="19">
        <v>100</v>
      </c>
      <c r="G34" s="118">
        <f>COMPOSIÇÕES!G215</f>
        <v>42.96</v>
      </c>
      <c r="H34" s="116">
        <f>ROUND(G34*$J$9,2)</f>
        <v>55.53</v>
      </c>
      <c r="I34" s="117">
        <f>ROUND(F34*H34,2)</f>
        <v>5553</v>
      </c>
      <c r="L34" s="118">
        <v>43.12</v>
      </c>
      <c r="M34" s="116">
        <v>55.74</v>
      </c>
      <c r="N34" s="117">
        <v>5574</v>
      </c>
      <c r="P34" s="118">
        <f t="shared" si="0"/>
        <v>0.1599999999999966</v>
      </c>
      <c r="Q34" s="116">
        <f t="shared" si="1"/>
        <v>0.21000000000000085</v>
      </c>
      <c r="R34" s="117">
        <f t="shared" si="2"/>
        <v>21</v>
      </c>
      <c r="S34" s="409">
        <f t="shared" si="3"/>
        <v>0.9962894248608535</v>
      </c>
    </row>
    <row r="35" spans="1:19" s="3" customFormat="1" ht="54">
      <c r="A35" s="13" t="s">
        <v>18</v>
      </c>
      <c r="B35" s="25" t="s">
        <v>99</v>
      </c>
      <c r="C35" s="119" t="s">
        <v>366</v>
      </c>
      <c r="D35" s="176" t="s">
        <v>367</v>
      </c>
      <c r="E35" s="17" t="s">
        <v>177</v>
      </c>
      <c r="F35" s="19">
        <v>120</v>
      </c>
      <c r="G35" s="118">
        <f>COMPOSIÇÕES!G228</f>
        <v>73.09</v>
      </c>
      <c r="H35" s="116">
        <f>ROUND(G35*$J$9,2)</f>
        <v>94.48</v>
      </c>
      <c r="I35" s="117">
        <f>ROUND(F35*H35,2)</f>
        <v>11337.6</v>
      </c>
      <c r="J35" s="6">
        <f>SUM(F35:F35)</f>
        <v>120</v>
      </c>
      <c r="L35" s="118">
        <v>73.42</v>
      </c>
      <c r="M35" s="116">
        <v>94.91</v>
      </c>
      <c r="N35" s="117">
        <v>11389.2</v>
      </c>
      <c r="P35" s="118">
        <f t="shared" si="0"/>
        <v>0.3299999999999983</v>
      </c>
      <c r="Q35" s="116">
        <f t="shared" si="1"/>
        <v>0.4299999999999926</v>
      </c>
      <c r="R35" s="117">
        <f t="shared" si="2"/>
        <v>51.600000000000364</v>
      </c>
      <c r="S35" s="409">
        <f t="shared" si="3"/>
        <v>0.9955053119041134</v>
      </c>
    </row>
    <row r="36" spans="1:19" s="288" customFormat="1" ht="13.5">
      <c r="A36" s="256">
        <v>7</v>
      </c>
      <c r="B36" s="294"/>
      <c r="C36" s="295"/>
      <c r="D36" s="300" t="s">
        <v>368</v>
      </c>
      <c r="E36" s="297"/>
      <c r="F36" s="297"/>
      <c r="G36" s="298"/>
      <c r="H36" s="298"/>
      <c r="I36" s="299">
        <f>SUM(I37:I40)</f>
        <v>32380.32</v>
      </c>
      <c r="K36" s="289"/>
      <c r="L36" s="298"/>
      <c r="M36" s="298"/>
      <c r="N36" s="299">
        <v>32472.239999999998</v>
      </c>
      <c r="P36" s="298">
        <f t="shared" si="0"/>
        <v>0</v>
      </c>
      <c r="Q36" s="298">
        <f t="shared" si="1"/>
        <v>0</v>
      </c>
      <c r="R36" s="299">
        <f t="shared" si="2"/>
        <v>91.91999999999825</v>
      </c>
      <c r="S36" s="408" t="e">
        <f t="shared" si="3"/>
        <v>#DIV/0!</v>
      </c>
    </row>
    <row r="37" spans="1:19" s="3" customFormat="1" ht="40.5">
      <c r="A37" s="13" t="s">
        <v>224</v>
      </c>
      <c r="B37" s="25" t="s">
        <v>99</v>
      </c>
      <c r="C37" s="119" t="s">
        <v>369</v>
      </c>
      <c r="D37" s="176" t="s">
        <v>370</v>
      </c>
      <c r="E37" s="17" t="s">
        <v>179</v>
      </c>
      <c r="F37" s="19">
        <v>6</v>
      </c>
      <c r="G37" s="118">
        <f>COMPOSIÇÕES!G241</f>
        <v>2061.48</v>
      </c>
      <c r="H37" s="116">
        <f>ROUND(G37*$J$9,2)</f>
        <v>2664.88</v>
      </c>
      <c r="I37" s="117">
        <f>ROUND(F37*H37,2)</f>
        <v>15989.28</v>
      </c>
      <c r="L37" s="118">
        <v>2067.01</v>
      </c>
      <c r="M37" s="116">
        <v>2672.02</v>
      </c>
      <c r="N37" s="117">
        <v>16032.12</v>
      </c>
      <c r="P37" s="118">
        <f t="shared" si="0"/>
        <v>5.5300000000002</v>
      </c>
      <c r="Q37" s="116">
        <f t="shared" si="1"/>
        <v>7.139999999999873</v>
      </c>
      <c r="R37" s="117">
        <f t="shared" si="2"/>
        <v>42.840000000000146</v>
      </c>
      <c r="S37" s="409">
        <f t="shared" si="3"/>
        <v>0.9973246380036864</v>
      </c>
    </row>
    <row r="38" spans="1:19" s="3" customFormat="1" ht="27">
      <c r="A38" s="13" t="s">
        <v>225</v>
      </c>
      <c r="B38" s="25" t="s">
        <v>99</v>
      </c>
      <c r="C38" s="119" t="s">
        <v>371</v>
      </c>
      <c r="D38" s="176" t="s">
        <v>372</v>
      </c>
      <c r="E38" s="17" t="s">
        <v>177</v>
      </c>
      <c r="F38" s="19">
        <v>11.34</v>
      </c>
      <c r="G38" s="118">
        <f>COMPOSIÇÕES!G253</f>
        <v>596.08</v>
      </c>
      <c r="H38" s="116">
        <f>ROUND(G38*$J$9,2)</f>
        <v>770.55</v>
      </c>
      <c r="I38" s="117">
        <f>ROUND(F38*H38,2)</f>
        <v>8738.04</v>
      </c>
      <c r="L38" s="118">
        <v>597.51</v>
      </c>
      <c r="M38" s="116">
        <v>772.4</v>
      </c>
      <c r="N38" s="117">
        <v>8759.02</v>
      </c>
      <c r="P38" s="118">
        <f t="shared" si="0"/>
        <v>1.42999999999995</v>
      </c>
      <c r="Q38" s="116">
        <f t="shared" si="1"/>
        <v>1.8500000000000227</v>
      </c>
      <c r="R38" s="117">
        <f t="shared" si="2"/>
        <v>20.979999999999563</v>
      </c>
      <c r="S38" s="409">
        <f t="shared" si="3"/>
        <v>0.9976067346153203</v>
      </c>
    </row>
    <row r="39" spans="1:19" s="173" customFormat="1" ht="67.5">
      <c r="A39" s="13" t="s">
        <v>226</v>
      </c>
      <c r="B39" s="25" t="s">
        <v>100</v>
      </c>
      <c r="C39" s="119" t="s">
        <v>190</v>
      </c>
      <c r="D39" s="176" t="s">
        <v>373</v>
      </c>
      <c r="E39" s="17" t="s">
        <v>176</v>
      </c>
      <c r="F39" s="19">
        <v>10.08</v>
      </c>
      <c r="G39" s="118">
        <f>COMPOSIÇÕES!G266</f>
        <v>542.38</v>
      </c>
      <c r="H39" s="116">
        <f>ROUND(G39*$J$9,2)</f>
        <v>701.13</v>
      </c>
      <c r="I39" s="117">
        <f>ROUND(F39*H39,2)</f>
        <v>7067.39</v>
      </c>
      <c r="L39" s="118">
        <v>544.4</v>
      </c>
      <c r="M39" s="116">
        <v>703.75</v>
      </c>
      <c r="N39" s="117">
        <v>7093.8</v>
      </c>
      <c r="P39" s="118">
        <f t="shared" si="0"/>
        <v>2.019999999999982</v>
      </c>
      <c r="Q39" s="116">
        <f t="shared" si="1"/>
        <v>2.6200000000000045</v>
      </c>
      <c r="R39" s="117">
        <f t="shared" si="2"/>
        <v>26.409999999999854</v>
      </c>
      <c r="S39" s="409">
        <f t="shared" si="3"/>
        <v>0.9962894930198384</v>
      </c>
    </row>
    <row r="40" spans="1:19" s="3" customFormat="1" ht="54">
      <c r="A40" s="13" t="s">
        <v>227</v>
      </c>
      <c r="B40" s="25" t="s">
        <v>99</v>
      </c>
      <c r="C40" s="119" t="s">
        <v>374</v>
      </c>
      <c r="D40" s="176" t="s">
        <v>375</v>
      </c>
      <c r="E40" s="17" t="s">
        <v>177</v>
      </c>
      <c r="F40" s="19">
        <v>0.96</v>
      </c>
      <c r="G40" s="118">
        <f>COMPOSIÇÕES!G279</f>
        <v>471.89</v>
      </c>
      <c r="H40" s="116">
        <f>ROUND(G40*$J$9,2)</f>
        <v>610.01</v>
      </c>
      <c r="I40" s="117">
        <f>ROUND(F40*H40,2)</f>
        <v>585.61</v>
      </c>
      <c r="L40" s="118">
        <v>473.25</v>
      </c>
      <c r="M40" s="116">
        <v>611.77</v>
      </c>
      <c r="N40" s="117">
        <v>587.3</v>
      </c>
      <c r="P40" s="118">
        <f t="shared" si="0"/>
        <v>1.3600000000000136</v>
      </c>
      <c r="Q40" s="116">
        <f t="shared" si="1"/>
        <v>1.759999999999991</v>
      </c>
      <c r="R40" s="117">
        <f t="shared" si="2"/>
        <v>1.6899999999999409</v>
      </c>
      <c r="S40" s="409">
        <f t="shared" si="3"/>
        <v>0.9971262546222927</v>
      </c>
    </row>
    <row r="41" spans="1:19" s="288" customFormat="1" ht="13.5">
      <c r="A41" s="256">
        <v>8</v>
      </c>
      <c r="B41" s="294"/>
      <c r="C41" s="295"/>
      <c r="D41" s="300" t="s">
        <v>376</v>
      </c>
      <c r="E41" s="297"/>
      <c r="F41" s="297"/>
      <c r="G41" s="298"/>
      <c r="H41" s="298"/>
      <c r="I41" s="299">
        <f>SUM(I42:I43)</f>
        <v>2333.64</v>
      </c>
      <c r="K41" s="289"/>
      <c r="L41" s="298"/>
      <c r="M41" s="298"/>
      <c r="N41" s="299">
        <v>2340.8</v>
      </c>
      <c r="P41" s="298">
        <f t="shared" si="0"/>
        <v>0</v>
      </c>
      <c r="Q41" s="298">
        <f t="shared" si="1"/>
        <v>0</v>
      </c>
      <c r="R41" s="299">
        <f t="shared" si="2"/>
        <v>7.160000000000309</v>
      </c>
      <c r="S41" s="408" t="e">
        <f t="shared" si="3"/>
        <v>#DIV/0!</v>
      </c>
    </row>
    <row r="42" spans="1:19" s="3" customFormat="1" ht="27">
      <c r="A42" s="13" t="s">
        <v>270</v>
      </c>
      <c r="B42" s="25" t="s">
        <v>99</v>
      </c>
      <c r="C42" s="119" t="s">
        <v>377</v>
      </c>
      <c r="D42" s="176" t="s">
        <v>378</v>
      </c>
      <c r="E42" s="17" t="s">
        <v>178</v>
      </c>
      <c r="F42" s="19">
        <v>5.7</v>
      </c>
      <c r="G42" s="118">
        <f>COMPOSIÇÕES!G291</f>
        <v>90.63</v>
      </c>
      <c r="H42" s="116">
        <f>ROUND(G42*$J$9,2)</f>
        <v>117.16</v>
      </c>
      <c r="I42" s="117">
        <f>ROUND(F42*H42,2)</f>
        <v>667.81</v>
      </c>
      <c r="L42" s="118">
        <v>90.93</v>
      </c>
      <c r="M42" s="116">
        <v>117.55</v>
      </c>
      <c r="N42" s="117">
        <v>670.04</v>
      </c>
      <c r="P42" s="118">
        <f t="shared" si="0"/>
        <v>0.30000000000001137</v>
      </c>
      <c r="Q42" s="116">
        <f t="shared" si="1"/>
        <v>0.39000000000000057</v>
      </c>
      <c r="R42" s="117">
        <f t="shared" si="2"/>
        <v>2.230000000000018</v>
      </c>
      <c r="S42" s="409">
        <f t="shared" si="3"/>
        <v>0.99670075882547</v>
      </c>
    </row>
    <row r="43" spans="1:19" s="3" customFormat="1" ht="40.5">
      <c r="A43" s="13" t="s">
        <v>271</v>
      </c>
      <c r="B43" s="25" t="s">
        <v>99</v>
      </c>
      <c r="C43" s="119" t="s">
        <v>222</v>
      </c>
      <c r="D43" s="176" t="s">
        <v>223</v>
      </c>
      <c r="E43" s="17" t="s">
        <v>178</v>
      </c>
      <c r="F43" s="19">
        <v>10.5</v>
      </c>
      <c r="G43" s="118">
        <f>COMPOSIÇÕES!G305</f>
        <v>122.73</v>
      </c>
      <c r="H43" s="116">
        <f>ROUND(G43*$J$9,2)</f>
        <v>158.65</v>
      </c>
      <c r="I43" s="117">
        <f>ROUND(F43*H43,2)</f>
        <v>1665.83</v>
      </c>
      <c r="L43" s="118">
        <v>123.09</v>
      </c>
      <c r="M43" s="116">
        <v>159.12</v>
      </c>
      <c r="N43" s="117">
        <v>1670.76</v>
      </c>
      <c r="P43" s="118">
        <f t="shared" si="0"/>
        <v>0.35999999999999943</v>
      </c>
      <c r="Q43" s="116">
        <f t="shared" si="1"/>
        <v>0.46999999999999886</v>
      </c>
      <c r="R43" s="117">
        <f t="shared" si="2"/>
        <v>4.930000000000064</v>
      </c>
      <c r="S43" s="409">
        <f t="shared" si="3"/>
        <v>0.997075310748233</v>
      </c>
    </row>
    <row r="44" spans="1:19" s="288" customFormat="1" ht="13.5">
      <c r="A44" s="256">
        <v>9</v>
      </c>
      <c r="B44" s="294"/>
      <c r="C44" s="295"/>
      <c r="D44" s="300" t="s">
        <v>231</v>
      </c>
      <c r="E44" s="297"/>
      <c r="F44" s="297"/>
      <c r="G44" s="298"/>
      <c r="H44" s="298"/>
      <c r="I44" s="299">
        <f>SUM(I45:I48)</f>
        <v>65899.27</v>
      </c>
      <c r="K44" s="289"/>
      <c r="L44" s="298"/>
      <c r="M44" s="298"/>
      <c r="N44" s="299">
        <v>66113.2</v>
      </c>
      <c r="P44" s="298">
        <f t="shared" si="0"/>
        <v>0</v>
      </c>
      <c r="Q44" s="298">
        <f t="shared" si="1"/>
        <v>0</v>
      </c>
      <c r="R44" s="299">
        <f t="shared" si="2"/>
        <v>213.92999999999302</v>
      </c>
      <c r="S44" s="408" t="e">
        <f t="shared" si="3"/>
        <v>#DIV/0!</v>
      </c>
    </row>
    <row r="45" spans="1:19" s="3" customFormat="1" ht="54">
      <c r="A45" s="13" t="s">
        <v>272</v>
      </c>
      <c r="B45" s="25" t="s">
        <v>99</v>
      </c>
      <c r="C45" s="119" t="s">
        <v>329</v>
      </c>
      <c r="D45" s="176" t="s">
        <v>330</v>
      </c>
      <c r="E45" s="17" t="s">
        <v>180</v>
      </c>
      <c r="F45" s="19">
        <v>28.23</v>
      </c>
      <c r="G45" s="118">
        <f>COMPOSIÇÕES!G319</f>
        <v>780.84</v>
      </c>
      <c r="H45" s="116">
        <f>ROUND(G45*$J$9,2)</f>
        <v>1009.39</v>
      </c>
      <c r="I45" s="117">
        <f>ROUND(F45*H45,2)</f>
        <v>28495.08</v>
      </c>
      <c r="L45" s="118">
        <v>783.65</v>
      </c>
      <c r="M45" s="116">
        <v>1013.02</v>
      </c>
      <c r="N45" s="117">
        <v>28597.55</v>
      </c>
      <c r="P45" s="118">
        <f t="shared" si="0"/>
        <v>2.8099999999999454</v>
      </c>
      <c r="Q45" s="116">
        <f t="shared" si="1"/>
        <v>3.6299999999999955</v>
      </c>
      <c r="R45" s="117">
        <f t="shared" si="2"/>
        <v>102.46999999999753</v>
      </c>
      <c r="S45" s="409">
        <f t="shared" si="3"/>
        <v>0.9964142155298923</v>
      </c>
    </row>
    <row r="46" spans="1:19" s="3" customFormat="1" ht="40.5">
      <c r="A46" s="13" t="s">
        <v>385</v>
      </c>
      <c r="B46" s="25" t="s">
        <v>99</v>
      </c>
      <c r="C46" s="119" t="s">
        <v>379</v>
      </c>
      <c r="D46" s="176" t="s">
        <v>380</v>
      </c>
      <c r="E46" s="17" t="s">
        <v>177</v>
      </c>
      <c r="F46" s="19">
        <v>100.26</v>
      </c>
      <c r="G46" s="118">
        <f>COMPOSIÇÕES!G332</f>
        <v>145.58</v>
      </c>
      <c r="H46" s="116">
        <f>ROUND(G46*$J$9,2)</f>
        <v>188.19</v>
      </c>
      <c r="I46" s="117">
        <f>ROUND(F46*H46,2)</f>
        <v>18867.93</v>
      </c>
      <c r="L46" s="118">
        <v>145.92</v>
      </c>
      <c r="M46" s="116">
        <v>188.63</v>
      </c>
      <c r="N46" s="117">
        <v>18912.04</v>
      </c>
      <c r="P46" s="118">
        <f t="shared" si="0"/>
        <v>0.339999999999975</v>
      </c>
      <c r="Q46" s="116">
        <f t="shared" si="1"/>
        <v>0.4399999999999977</v>
      </c>
      <c r="R46" s="117">
        <f t="shared" si="2"/>
        <v>44.11000000000058</v>
      </c>
      <c r="S46" s="409">
        <f t="shared" si="3"/>
        <v>0.997669956140351</v>
      </c>
    </row>
    <row r="47" spans="1:19" s="3" customFormat="1" ht="40.5">
      <c r="A47" s="13" t="s">
        <v>386</v>
      </c>
      <c r="B47" s="25" t="s">
        <v>99</v>
      </c>
      <c r="C47" s="119" t="s">
        <v>381</v>
      </c>
      <c r="D47" s="176" t="s">
        <v>382</v>
      </c>
      <c r="E47" s="17" t="s">
        <v>177</v>
      </c>
      <c r="F47" s="19">
        <v>78.85</v>
      </c>
      <c r="G47" s="118">
        <f>COMPOSIÇÕES!G345</f>
        <v>52.28999999999999</v>
      </c>
      <c r="H47" s="116">
        <f>ROUND(G47*$J$9,2)</f>
        <v>67.6</v>
      </c>
      <c r="I47" s="117">
        <f>ROUND(F47*H47,2)</f>
        <v>5330.26</v>
      </c>
      <c r="L47" s="118">
        <v>52.46</v>
      </c>
      <c r="M47" s="116">
        <v>67.82</v>
      </c>
      <c r="N47" s="117">
        <v>5347.61</v>
      </c>
      <c r="P47" s="118">
        <f t="shared" si="0"/>
        <v>0.1700000000000088</v>
      </c>
      <c r="Q47" s="116">
        <f t="shared" si="1"/>
        <v>0.21999999999999886</v>
      </c>
      <c r="R47" s="117">
        <f t="shared" si="2"/>
        <v>17.349999999999454</v>
      </c>
      <c r="S47" s="409">
        <f t="shared" si="3"/>
        <v>0.9967594357605793</v>
      </c>
    </row>
    <row r="48" spans="1:19" s="3" customFormat="1" ht="67.5">
      <c r="A48" s="13" t="s">
        <v>387</v>
      </c>
      <c r="B48" s="25" t="s">
        <v>99</v>
      </c>
      <c r="C48" s="119" t="s">
        <v>383</v>
      </c>
      <c r="D48" s="176" t="s">
        <v>384</v>
      </c>
      <c r="E48" s="17" t="s">
        <v>178</v>
      </c>
      <c r="F48" s="19">
        <v>200</v>
      </c>
      <c r="G48" s="118">
        <f>COMPOSIÇÕES!G358</f>
        <v>51.08</v>
      </c>
      <c r="H48" s="116">
        <f>ROUND(G48*$J$9,2)</f>
        <v>66.03</v>
      </c>
      <c r="I48" s="117">
        <f>ROUND(F48*H48,2)</f>
        <v>13206</v>
      </c>
      <c r="L48" s="118">
        <v>51.27</v>
      </c>
      <c r="M48" s="116">
        <v>66.28</v>
      </c>
      <c r="N48" s="117">
        <v>13256</v>
      </c>
      <c r="P48" s="118">
        <f t="shared" si="0"/>
        <v>0.19000000000000483</v>
      </c>
      <c r="Q48" s="116">
        <f t="shared" si="1"/>
        <v>0.25</v>
      </c>
      <c r="R48" s="117">
        <f t="shared" si="2"/>
        <v>50</v>
      </c>
      <c r="S48" s="409">
        <f t="shared" si="3"/>
        <v>0.9962941291203432</v>
      </c>
    </row>
    <row r="49" spans="1:19" s="288" customFormat="1" ht="13.5">
      <c r="A49" s="256">
        <v>10</v>
      </c>
      <c r="B49" s="294"/>
      <c r="C49" s="295"/>
      <c r="D49" s="300" t="s">
        <v>232</v>
      </c>
      <c r="E49" s="297"/>
      <c r="F49" s="297"/>
      <c r="G49" s="298"/>
      <c r="H49" s="298"/>
      <c r="I49" s="299">
        <f>SUM(I50:I58)</f>
        <v>37263.59</v>
      </c>
      <c r="K49" s="289"/>
      <c r="L49" s="298"/>
      <c r="M49" s="298"/>
      <c r="N49" s="299">
        <v>37400.22</v>
      </c>
      <c r="P49" s="298">
        <f t="shared" si="0"/>
        <v>0</v>
      </c>
      <c r="Q49" s="298">
        <f t="shared" si="1"/>
        <v>0</v>
      </c>
      <c r="R49" s="299">
        <f t="shared" si="2"/>
        <v>136.63000000000466</v>
      </c>
      <c r="S49" s="408" t="e">
        <f t="shared" si="3"/>
        <v>#DIV/0!</v>
      </c>
    </row>
    <row r="50" spans="1:19" s="3" customFormat="1" ht="27">
      <c r="A50" s="13" t="s">
        <v>273</v>
      </c>
      <c r="B50" s="25" t="s">
        <v>99</v>
      </c>
      <c r="C50" s="119" t="s">
        <v>388</v>
      </c>
      <c r="D50" s="176" t="s">
        <v>389</v>
      </c>
      <c r="E50" s="17" t="s">
        <v>177</v>
      </c>
      <c r="F50" s="19">
        <v>100</v>
      </c>
      <c r="G50" s="118">
        <f>COMPOSIÇÕES!G370</f>
        <v>9.2</v>
      </c>
      <c r="H50" s="116">
        <f>ROUND(G50*$J$9,2)</f>
        <v>11.89</v>
      </c>
      <c r="I50" s="117">
        <f aca="true" t="shared" si="5" ref="I50:I58">ROUND(F50*H50,2)</f>
        <v>1189</v>
      </c>
      <c r="L50" s="118">
        <v>9.24</v>
      </c>
      <c r="M50" s="116">
        <v>11.94</v>
      </c>
      <c r="N50" s="117">
        <v>1194</v>
      </c>
      <c r="P50" s="118">
        <f t="shared" si="0"/>
        <v>0.040000000000000924</v>
      </c>
      <c r="Q50" s="116">
        <f t="shared" si="1"/>
        <v>0.049999999999998934</v>
      </c>
      <c r="R50" s="117">
        <f t="shared" si="2"/>
        <v>5</v>
      </c>
      <c r="S50" s="409">
        <f t="shared" si="3"/>
        <v>0.9956709956709956</v>
      </c>
    </row>
    <row r="51" spans="1:19" s="3" customFormat="1" ht="27">
      <c r="A51" s="13" t="s">
        <v>274</v>
      </c>
      <c r="B51" s="25" t="s">
        <v>99</v>
      </c>
      <c r="C51" s="119" t="s">
        <v>235</v>
      </c>
      <c r="D51" s="176" t="s">
        <v>236</v>
      </c>
      <c r="E51" s="17" t="s">
        <v>177</v>
      </c>
      <c r="F51" s="19">
        <v>100</v>
      </c>
      <c r="G51" s="118">
        <f>COMPOSIÇÕES!G381</f>
        <v>2.28</v>
      </c>
      <c r="H51" s="116">
        <f>ROUND(G51*$J$9,2)</f>
        <v>2.95</v>
      </c>
      <c r="I51" s="117">
        <f t="shared" si="5"/>
        <v>295</v>
      </c>
      <c r="L51" s="118">
        <v>2.28</v>
      </c>
      <c r="M51" s="116">
        <v>2.95</v>
      </c>
      <c r="N51" s="117">
        <v>295</v>
      </c>
      <c r="P51" s="118">
        <f t="shared" si="0"/>
        <v>0</v>
      </c>
      <c r="Q51" s="116">
        <f t="shared" si="1"/>
        <v>0</v>
      </c>
      <c r="R51" s="117">
        <f t="shared" si="2"/>
        <v>0</v>
      </c>
      <c r="S51" s="409">
        <f t="shared" si="3"/>
        <v>1</v>
      </c>
    </row>
    <row r="52" spans="1:19" s="3" customFormat="1" ht="27">
      <c r="A52" s="13" t="s">
        <v>275</v>
      </c>
      <c r="B52" s="25" t="s">
        <v>99</v>
      </c>
      <c r="C52" s="119" t="s">
        <v>237</v>
      </c>
      <c r="D52" s="176" t="s">
        <v>238</v>
      </c>
      <c r="E52" s="17" t="s">
        <v>177</v>
      </c>
      <c r="F52" s="19">
        <v>100</v>
      </c>
      <c r="G52" s="118">
        <f>COMPOSIÇÕES!G392</f>
        <v>13.52</v>
      </c>
      <c r="H52" s="116">
        <f>ROUND(G52*$J$9,2)</f>
        <v>17.48</v>
      </c>
      <c r="I52" s="117">
        <f t="shared" si="5"/>
        <v>1748</v>
      </c>
      <c r="L52" s="118">
        <v>13.57</v>
      </c>
      <c r="M52" s="116">
        <v>17.54</v>
      </c>
      <c r="N52" s="117">
        <v>1754</v>
      </c>
      <c r="P52" s="118">
        <f t="shared" si="0"/>
        <v>0.05000000000000071</v>
      </c>
      <c r="Q52" s="116">
        <f t="shared" si="1"/>
        <v>0.05999999999999872</v>
      </c>
      <c r="R52" s="117">
        <f t="shared" si="2"/>
        <v>6</v>
      </c>
      <c r="S52" s="409">
        <f t="shared" si="3"/>
        <v>0.9963154016212232</v>
      </c>
    </row>
    <row r="53" spans="1:19" s="173" customFormat="1" ht="54">
      <c r="A53" s="13" t="s">
        <v>276</v>
      </c>
      <c r="B53" s="25" t="s">
        <v>100</v>
      </c>
      <c r="C53" s="119" t="s">
        <v>239</v>
      </c>
      <c r="D53" s="176" t="s">
        <v>240</v>
      </c>
      <c r="E53" s="17" t="s">
        <v>177</v>
      </c>
      <c r="F53" s="19">
        <v>200</v>
      </c>
      <c r="G53" s="118">
        <f>COMPOSIÇÕES!G406</f>
        <v>72.83000000000001</v>
      </c>
      <c r="H53" s="116">
        <f>ROUND(G53*$J$9,2)</f>
        <v>94.15</v>
      </c>
      <c r="I53" s="117">
        <f t="shared" si="5"/>
        <v>18830</v>
      </c>
      <c r="L53" s="118">
        <v>73.12</v>
      </c>
      <c r="M53" s="116">
        <v>94.52</v>
      </c>
      <c r="N53" s="117">
        <v>18904</v>
      </c>
      <c r="P53" s="118">
        <f t="shared" si="0"/>
        <v>0.28999999999999204</v>
      </c>
      <c r="Q53" s="116">
        <f t="shared" si="1"/>
        <v>0.36999999999999034</v>
      </c>
      <c r="R53" s="117">
        <f t="shared" si="2"/>
        <v>74</v>
      </c>
      <c r="S53" s="409">
        <f t="shared" si="3"/>
        <v>0.9960339168490154</v>
      </c>
    </row>
    <row r="54" spans="1:19" s="3" customFormat="1" ht="40.5">
      <c r="A54" s="13" t="s">
        <v>277</v>
      </c>
      <c r="B54" s="25" t="s">
        <v>99</v>
      </c>
      <c r="C54" s="119" t="s">
        <v>241</v>
      </c>
      <c r="D54" s="176" t="s">
        <v>242</v>
      </c>
      <c r="E54" s="17" t="s">
        <v>177</v>
      </c>
      <c r="F54" s="19">
        <v>150</v>
      </c>
      <c r="G54" s="118">
        <f>COMPOSIÇÕES!G417</f>
        <v>8.06</v>
      </c>
      <c r="H54" s="116">
        <f>ROUND(G54*$J$9,2)</f>
        <v>10.42</v>
      </c>
      <c r="I54" s="117">
        <f t="shared" si="5"/>
        <v>1563</v>
      </c>
      <c r="L54" s="118">
        <v>8.08</v>
      </c>
      <c r="M54" s="116">
        <v>10.45</v>
      </c>
      <c r="N54" s="117">
        <v>1567.5</v>
      </c>
      <c r="P54" s="118">
        <f t="shared" si="0"/>
        <v>0.019999999999999574</v>
      </c>
      <c r="Q54" s="116">
        <f t="shared" si="1"/>
        <v>0.02999999999999936</v>
      </c>
      <c r="R54" s="117">
        <f t="shared" si="2"/>
        <v>4.5</v>
      </c>
      <c r="S54" s="409">
        <f t="shared" si="3"/>
        <v>0.9975247524752475</v>
      </c>
    </row>
    <row r="55" spans="1:19" s="3" customFormat="1" ht="54">
      <c r="A55" s="13" t="s">
        <v>274</v>
      </c>
      <c r="B55" s="25" t="s">
        <v>99</v>
      </c>
      <c r="C55" s="119" t="s">
        <v>390</v>
      </c>
      <c r="D55" s="176" t="s">
        <v>391</v>
      </c>
      <c r="E55" s="17" t="s">
        <v>177</v>
      </c>
      <c r="F55" s="19">
        <v>150</v>
      </c>
      <c r="G55" s="118">
        <f>COMPOSIÇÕES!G428</f>
        <v>7.9399999999999995</v>
      </c>
      <c r="H55" s="116">
        <f>ROUND(G55*$J$9,2)</f>
        <v>10.26</v>
      </c>
      <c r="I55" s="117">
        <f t="shared" si="5"/>
        <v>1539</v>
      </c>
      <c r="L55" s="118">
        <v>7.95</v>
      </c>
      <c r="M55" s="116">
        <v>10.28</v>
      </c>
      <c r="N55" s="117">
        <v>1542</v>
      </c>
      <c r="P55" s="118">
        <f t="shared" si="0"/>
        <v>0.010000000000000675</v>
      </c>
      <c r="Q55" s="116">
        <f t="shared" si="1"/>
        <v>0.019999999999999574</v>
      </c>
      <c r="R55" s="117">
        <f t="shared" si="2"/>
        <v>3</v>
      </c>
      <c r="S55" s="409">
        <f t="shared" si="3"/>
        <v>0.9987421383647798</v>
      </c>
    </row>
    <row r="56" spans="1:19" s="173" customFormat="1" ht="27">
      <c r="A56" s="13" t="s">
        <v>275</v>
      </c>
      <c r="B56" s="25" t="s">
        <v>100</v>
      </c>
      <c r="C56" s="119" t="s">
        <v>255</v>
      </c>
      <c r="D56" s="176" t="s">
        <v>392</v>
      </c>
      <c r="E56" s="17" t="s">
        <v>177</v>
      </c>
      <c r="F56" s="19">
        <v>188.65</v>
      </c>
      <c r="G56" s="118">
        <f>COMPOSIÇÕES!G438</f>
        <v>18.15</v>
      </c>
      <c r="H56" s="116">
        <f>ROUND(G56*$J$9,2)</f>
        <v>23.46</v>
      </c>
      <c r="I56" s="117">
        <f t="shared" si="5"/>
        <v>4425.73</v>
      </c>
      <c r="L56" s="118">
        <v>18.189999999999998</v>
      </c>
      <c r="M56" s="116">
        <v>23.51</v>
      </c>
      <c r="N56" s="117">
        <v>4435.16</v>
      </c>
      <c r="P56" s="118">
        <f t="shared" si="0"/>
        <v>0.03999999999999915</v>
      </c>
      <c r="Q56" s="116">
        <f t="shared" si="1"/>
        <v>0.05000000000000071</v>
      </c>
      <c r="R56" s="117">
        <f t="shared" si="2"/>
        <v>9.430000000000291</v>
      </c>
      <c r="S56" s="409">
        <f t="shared" si="3"/>
        <v>0.9978009895547004</v>
      </c>
    </row>
    <row r="57" spans="1:19" s="3" customFormat="1" ht="27">
      <c r="A57" s="13" t="s">
        <v>276</v>
      </c>
      <c r="B57" s="25" t="s">
        <v>99</v>
      </c>
      <c r="C57" s="119" t="s">
        <v>393</v>
      </c>
      <c r="D57" s="176" t="s">
        <v>394</v>
      </c>
      <c r="E57" s="17" t="s">
        <v>177</v>
      </c>
      <c r="F57" s="19">
        <v>188.65</v>
      </c>
      <c r="G57" s="118">
        <f>COMPOSIÇÕES!G449</f>
        <v>16.16</v>
      </c>
      <c r="H57" s="116">
        <f>ROUND(G57*$J$9,2)</f>
        <v>20.89</v>
      </c>
      <c r="I57" s="117">
        <f t="shared" si="5"/>
        <v>3940.9</v>
      </c>
      <c r="L57" s="118">
        <v>16.24</v>
      </c>
      <c r="M57" s="116">
        <v>20.99</v>
      </c>
      <c r="N57" s="117">
        <v>3959.76</v>
      </c>
      <c r="P57" s="118">
        <f t="shared" si="0"/>
        <v>0.0799999999999983</v>
      </c>
      <c r="Q57" s="116">
        <f t="shared" si="1"/>
        <v>0.09999999999999787</v>
      </c>
      <c r="R57" s="117">
        <f t="shared" si="2"/>
        <v>18.860000000000127</v>
      </c>
      <c r="S57" s="409">
        <f t="shared" si="3"/>
        <v>0.9950738916256159</v>
      </c>
    </row>
    <row r="58" spans="1:19" s="3" customFormat="1" ht="40.5">
      <c r="A58" s="13" t="s">
        <v>277</v>
      </c>
      <c r="B58" s="25" t="s">
        <v>99</v>
      </c>
      <c r="C58" s="119" t="s">
        <v>395</v>
      </c>
      <c r="D58" s="176" t="s">
        <v>396</v>
      </c>
      <c r="E58" s="17" t="s">
        <v>177</v>
      </c>
      <c r="F58" s="19">
        <v>176</v>
      </c>
      <c r="G58" s="118">
        <f>COMPOSIÇÕES!G462</f>
        <v>16.409999999999997</v>
      </c>
      <c r="H58" s="116">
        <f>ROUND(G58*$J$9,2)</f>
        <v>21.21</v>
      </c>
      <c r="I58" s="117">
        <f t="shared" si="5"/>
        <v>3732.96</v>
      </c>
      <c r="L58" s="118">
        <v>16.48</v>
      </c>
      <c r="M58" s="116">
        <v>21.3</v>
      </c>
      <c r="N58" s="117">
        <v>3748.8</v>
      </c>
      <c r="P58" s="118">
        <f t="shared" si="0"/>
        <v>0.07000000000000384</v>
      </c>
      <c r="Q58" s="116">
        <f t="shared" si="1"/>
        <v>0.08999999999999986</v>
      </c>
      <c r="R58" s="117">
        <f t="shared" si="2"/>
        <v>15.840000000000146</v>
      </c>
      <c r="S58" s="409">
        <f t="shared" si="3"/>
        <v>0.9957524271844658</v>
      </c>
    </row>
    <row r="59" spans="1:19" s="288" customFormat="1" ht="13.5">
      <c r="A59" s="256">
        <v>11</v>
      </c>
      <c r="B59" s="294"/>
      <c r="C59" s="295"/>
      <c r="D59" s="300" t="s">
        <v>243</v>
      </c>
      <c r="E59" s="297"/>
      <c r="F59" s="297"/>
      <c r="G59" s="298"/>
      <c r="H59" s="298"/>
      <c r="I59" s="299">
        <f>SUM(I60:I69)</f>
        <v>80550.05</v>
      </c>
      <c r="K59" s="289"/>
      <c r="L59" s="298"/>
      <c r="M59" s="298"/>
      <c r="N59" s="299">
        <v>80784.51999999999</v>
      </c>
      <c r="P59" s="298">
        <f t="shared" si="0"/>
        <v>0</v>
      </c>
      <c r="Q59" s="298">
        <f t="shared" si="1"/>
        <v>0</v>
      </c>
      <c r="R59" s="299">
        <f t="shared" si="2"/>
        <v>234.4699999999866</v>
      </c>
      <c r="S59" s="408" t="e">
        <f t="shared" si="3"/>
        <v>#DIV/0!</v>
      </c>
    </row>
    <row r="60" spans="1:19" s="3" customFormat="1" ht="67.5">
      <c r="A60" s="13" t="s">
        <v>278</v>
      </c>
      <c r="B60" s="25" t="s">
        <v>99</v>
      </c>
      <c r="C60" s="119" t="s">
        <v>397</v>
      </c>
      <c r="D60" s="176" t="s">
        <v>398</v>
      </c>
      <c r="E60" s="17" t="s">
        <v>179</v>
      </c>
      <c r="F60" s="19">
        <v>10</v>
      </c>
      <c r="G60" s="118">
        <f>COMPOSIÇÕES!G480</f>
        <v>199.14</v>
      </c>
      <c r="H60" s="116">
        <f>ROUND(G60*$J$9,2)</f>
        <v>257.43</v>
      </c>
      <c r="I60" s="117">
        <f aca="true" t="shared" si="6" ref="I60:I69">ROUND(F60*H60,2)</f>
        <v>2574.3</v>
      </c>
      <c r="J60" s="6"/>
      <c r="L60" s="118">
        <v>199.62</v>
      </c>
      <c r="M60" s="116">
        <v>258.05</v>
      </c>
      <c r="N60" s="117">
        <v>2580.5</v>
      </c>
      <c r="P60" s="118">
        <f t="shared" si="0"/>
        <v>0.4800000000000182</v>
      </c>
      <c r="Q60" s="116">
        <f t="shared" si="1"/>
        <v>0.6200000000000045</v>
      </c>
      <c r="R60" s="117">
        <f t="shared" si="2"/>
        <v>6.199999999999818</v>
      </c>
      <c r="S60" s="409">
        <f t="shared" si="3"/>
        <v>0.997595431319507</v>
      </c>
    </row>
    <row r="61" spans="1:19" s="3" customFormat="1" ht="67.5">
      <c r="A61" s="13" t="s">
        <v>279</v>
      </c>
      <c r="B61" s="25" t="s">
        <v>99</v>
      </c>
      <c r="C61" s="119" t="s">
        <v>399</v>
      </c>
      <c r="D61" s="176" t="s">
        <v>400</v>
      </c>
      <c r="E61" s="17" t="s">
        <v>179</v>
      </c>
      <c r="F61" s="19">
        <v>10</v>
      </c>
      <c r="G61" s="118">
        <f>COMPOSIÇÕES!G497</f>
        <v>154.47</v>
      </c>
      <c r="H61" s="116">
        <f>ROUND(G61*$J$9,2)</f>
        <v>199.68</v>
      </c>
      <c r="I61" s="117">
        <f t="shared" si="6"/>
        <v>1996.8</v>
      </c>
      <c r="L61" s="118">
        <v>154.86</v>
      </c>
      <c r="M61" s="116">
        <v>200.19</v>
      </c>
      <c r="N61" s="117">
        <v>2001.9</v>
      </c>
      <c r="P61" s="118">
        <f t="shared" si="0"/>
        <v>0.3900000000000148</v>
      </c>
      <c r="Q61" s="116">
        <f t="shared" si="1"/>
        <v>0.5099999999999909</v>
      </c>
      <c r="R61" s="117">
        <f t="shared" si="2"/>
        <v>5.100000000000136</v>
      </c>
      <c r="S61" s="409">
        <f t="shared" si="3"/>
        <v>0.9974815962805114</v>
      </c>
    </row>
    <row r="62" spans="1:19" s="3" customFormat="1" ht="13.5">
      <c r="A62" s="13" t="s">
        <v>280</v>
      </c>
      <c r="B62" s="25" t="s">
        <v>220</v>
      </c>
      <c r="C62" s="119">
        <v>170701</v>
      </c>
      <c r="D62" s="176" t="s">
        <v>245</v>
      </c>
      <c r="E62" s="17" t="s">
        <v>244</v>
      </c>
      <c r="F62" s="19">
        <v>4</v>
      </c>
      <c r="G62" s="118">
        <f>COMPOSIÇÕES!G511</f>
        <v>486.0799999999999</v>
      </c>
      <c r="H62" s="116">
        <f>ROUND(G62*$J$9,2)</f>
        <v>628.36</v>
      </c>
      <c r="I62" s="117">
        <f t="shared" si="6"/>
        <v>2513.44</v>
      </c>
      <c r="L62" s="118">
        <v>492.31</v>
      </c>
      <c r="M62" s="116">
        <v>636.41</v>
      </c>
      <c r="N62" s="117">
        <v>2545.64</v>
      </c>
      <c r="P62" s="118">
        <f t="shared" si="0"/>
        <v>6.230000000000075</v>
      </c>
      <c r="Q62" s="116">
        <f t="shared" si="1"/>
        <v>8.049999999999955</v>
      </c>
      <c r="R62" s="117">
        <f t="shared" si="2"/>
        <v>32.19999999999982</v>
      </c>
      <c r="S62" s="409">
        <f t="shared" si="3"/>
        <v>0.9873453718185694</v>
      </c>
    </row>
    <row r="63" spans="1:19" s="3" customFormat="1" ht="27">
      <c r="A63" s="13" t="s">
        <v>281</v>
      </c>
      <c r="B63" s="25" t="s">
        <v>99</v>
      </c>
      <c r="C63" s="119" t="s">
        <v>246</v>
      </c>
      <c r="D63" s="176" t="s">
        <v>247</v>
      </c>
      <c r="E63" s="17" t="s">
        <v>179</v>
      </c>
      <c r="F63" s="19">
        <v>20</v>
      </c>
      <c r="G63" s="118">
        <f>COMPOSIÇÕES!G524</f>
        <v>1711.2299999999998</v>
      </c>
      <c r="H63" s="116">
        <f>ROUND(G63*$J$9,2)</f>
        <v>2212.11</v>
      </c>
      <c r="I63" s="117">
        <f t="shared" si="6"/>
        <v>44242.2</v>
      </c>
      <c r="L63" s="118">
        <v>1715.22</v>
      </c>
      <c r="M63" s="116">
        <v>2217.26</v>
      </c>
      <c r="N63" s="117">
        <v>44345.2</v>
      </c>
      <c r="P63" s="118">
        <f t="shared" si="0"/>
        <v>3.9900000000002365</v>
      </c>
      <c r="Q63" s="116">
        <f t="shared" si="1"/>
        <v>5.150000000000091</v>
      </c>
      <c r="R63" s="117">
        <f t="shared" si="2"/>
        <v>103</v>
      </c>
      <c r="S63" s="409">
        <f t="shared" si="3"/>
        <v>0.9976737677965507</v>
      </c>
    </row>
    <row r="64" spans="1:19" s="3" customFormat="1" ht="40.5">
      <c r="A64" s="13" t="s">
        <v>282</v>
      </c>
      <c r="B64" s="25" t="s">
        <v>99</v>
      </c>
      <c r="C64" s="119" t="s">
        <v>248</v>
      </c>
      <c r="D64" s="176" t="s">
        <v>249</v>
      </c>
      <c r="E64" s="17" t="s">
        <v>179</v>
      </c>
      <c r="F64" s="19">
        <v>10</v>
      </c>
      <c r="G64" s="118">
        <f>COMPOSIÇÕES!G536</f>
        <v>54.02</v>
      </c>
      <c r="H64" s="116">
        <f>ROUND(G64*$J$9,2)</f>
        <v>69.83</v>
      </c>
      <c r="I64" s="117">
        <f t="shared" si="6"/>
        <v>698.3</v>
      </c>
      <c r="L64" s="118">
        <v>54.13</v>
      </c>
      <c r="M64" s="116">
        <v>69.97</v>
      </c>
      <c r="N64" s="117">
        <v>699.7</v>
      </c>
      <c r="P64" s="118">
        <f t="shared" si="0"/>
        <v>0.10999999999999943</v>
      </c>
      <c r="Q64" s="116">
        <f t="shared" si="1"/>
        <v>0.14000000000000057</v>
      </c>
      <c r="R64" s="117">
        <f t="shared" si="2"/>
        <v>1.400000000000091</v>
      </c>
      <c r="S64" s="409">
        <f t="shared" si="3"/>
        <v>0.9979678551634953</v>
      </c>
    </row>
    <row r="65" spans="1:19" s="173" customFormat="1" ht="40.5">
      <c r="A65" s="13" t="s">
        <v>283</v>
      </c>
      <c r="B65" s="25" t="s">
        <v>100</v>
      </c>
      <c r="C65" s="119" t="s">
        <v>250</v>
      </c>
      <c r="D65" s="176" t="s">
        <v>251</v>
      </c>
      <c r="E65" s="17" t="s">
        <v>214</v>
      </c>
      <c r="F65" s="19">
        <v>5</v>
      </c>
      <c r="G65" s="118">
        <f>COMPOSIÇÕES!G546</f>
        <v>754.71</v>
      </c>
      <c r="H65" s="116">
        <f>ROUND(G65*$J$9,2)</f>
        <v>975.61</v>
      </c>
      <c r="I65" s="117">
        <f t="shared" si="6"/>
        <v>4878.05</v>
      </c>
      <c r="L65" s="118">
        <v>756.46</v>
      </c>
      <c r="M65" s="116">
        <v>977.88</v>
      </c>
      <c r="N65" s="117">
        <v>4889.4</v>
      </c>
      <c r="P65" s="118">
        <f t="shared" si="0"/>
        <v>1.75</v>
      </c>
      <c r="Q65" s="116">
        <f t="shared" si="1"/>
        <v>2.269999999999982</v>
      </c>
      <c r="R65" s="117">
        <f t="shared" si="2"/>
        <v>11.349999999999454</v>
      </c>
      <c r="S65" s="409">
        <f t="shared" si="3"/>
        <v>0.9976865928138963</v>
      </c>
    </row>
    <row r="66" spans="1:19" s="173" customFormat="1" ht="27">
      <c r="A66" s="13" t="s">
        <v>284</v>
      </c>
      <c r="B66" s="25" t="s">
        <v>100</v>
      </c>
      <c r="C66" s="119" t="s">
        <v>256</v>
      </c>
      <c r="D66" s="176" t="s">
        <v>257</v>
      </c>
      <c r="E66" s="17" t="s">
        <v>214</v>
      </c>
      <c r="F66" s="19">
        <v>50</v>
      </c>
      <c r="G66" s="118">
        <f>COMPOSIÇÕES!G558</f>
        <v>59.63</v>
      </c>
      <c r="H66" s="116">
        <f>ROUND(G66*$J$9,2)</f>
        <v>77.08</v>
      </c>
      <c r="I66" s="117">
        <f t="shared" si="6"/>
        <v>3854</v>
      </c>
      <c r="L66" s="118">
        <v>59.79</v>
      </c>
      <c r="M66" s="116">
        <v>77.29</v>
      </c>
      <c r="N66" s="117">
        <v>3864.5</v>
      </c>
      <c r="P66" s="118">
        <f t="shared" si="0"/>
        <v>0.1599999999999966</v>
      </c>
      <c r="Q66" s="116">
        <f t="shared" si="1"/>
        <v>0.21000000000000796</v>
      </c>
      <c r="R66" s="117">
        <f t="shared" si="2"/>
        <v>10.5</v>
      </c>
      <c r="S66" s="409">
        <f t="shared" si="3"/>
        <v>0.9973239672185985</v>
      </c>
    </row>
    <row r="67" spans="1:19" s="3" customFormat="1" ht="54">
      <c r="A67" s="13" t="s">
        <v>285</v>
      </c>
      <c r="B67" s="25" t="s">
        <v>99</v>
      </c>
      <c r="C67" s="119" t="s">
        <v>258</v>
      </c>
      <c r="D67" s="176" t="s">
        <v>259</v>
      </c>
      <c r="E67" s="17" t="s">
        <v>178</v>
      </c>
      <c r="F67" s="19">
        <v>800</v>
      </c>
      <c r="G67" s="118">
        <f>COMPOSIÇÕES!G568</f>
        <v>12.200000000000001</v>
      </c>
      <c r="H67" s="116">
        <f>ROUND(G67*$J$9,2)</f>
        <v>15.77</v>
      </c>
      <c r="I67" s="117">
        <f t="shared" si="6"/>
        <v>12616</v>
      </c>
      <c r="L67" s="118">
        <v>12.22</v>
      </c>
      <c r="M67" s="116">
        <v>15.8</v>
      </c>
      <c r="N67" s="117">
        <v>12640</v>
      </c>
      <c r="P67" s="118">
        <f t="shared" si="0"/>
        <v>0.019999999999999574</v>
      </c>
      <c r="Q67" s="116">
        <f t="shared" si="1"/>
        <v>0.030000000000001137</v>
      </c>
      <c r="R67" s="117">
        <f t="shared" si="2"/>
        <v>24</v>
      </c>
      <c r="S67" s="409">
        <f t="shared" si="3"/>
        <v>0.9983633387888707</v>
      </c>
    </row>
    <row r="68" spans="1:19" s="3" customFormat="1" ht="40.5">
      <c r="A68" s="13" t="s">
        <v>286</v>
      </c>
      <c r="B68" s="25" t="s">
        <v>99</v>
      </c>
      <c r="C68" s="119" t="s">
        <v>260</v>
      </c>
      <c r="D68" s="176" t="s">
        <v>261</v>
      </c>
      <c r="E68" s="17" t="s">
        <v>178</v>
      </c>
      <c r="F68" s="19">
        <v>400</v>
      </c>
      <c r="G68" s="118">
        <f>COMPOSIÇÕES!G579</f>
        <v>10.190000000000001</v>
      </c>
      <c r="H68" s="116">
        <f>ROUND(G68*$J$9,2)</f>
        <v>13.17</v>
      </c>
      <c r="I68" s="117">
        <f t="shared" si="6"/>
        <v>5268</v>
      </c>
      <c r="L68" s="118">
        <v>10.25</v>
      </c>
      <c r="M68" s="116">
        <v>13.25</v>
      </c>
      <c r="N68" s="117">
        <v>5300</v>
      </c>
      <c r="P68" s="118">
        <f t="shared" si="0"/>
        <v>0.05999999999999872</v>
      </c>
      <c r="Q68" s="116">
        <f t="shared" si="1"/>
        <v>0.08000000000000007</v>
      </c>
      <c r="R68" s="117">
        <f t="shared" si="2"/>
        <v>32</v>
      </c>
      <c r="S68" s="409">
        <f t="shared" si="3"/>
        <v>0.9941463414634147</v>
      </c>
    </row>
    <row r="69" spans="1:19" s="3" customFormat="1" ht="40.5">
      <c r="A69" s="13" t="s">
        <v>287</v>
      </c>
      <c r="B69" s="25" t="s">
        <v>99</v>
      </c>
      <c r="C69" s="119" t="s">
        <v>401</v>
      </c>
      <c r="D69" s="176" t="s">
        <v>402</v>
      </c>
      <c r="E69" s="17" t="s">
        <v>179</v>
      </c>
      <c r="F69" s="19">
        <v>8</v>
      </c>
      <c r="G69" s="118">
        <f>COMPOSIÇÕES!G594</f>
        <v>184.59</v>
      </c>
      <c r="H69" s="116">
        <f>ROUND(G69*$J$9,2)</f>
        <v>238.62</v>
      </c>
      <c r="I69" s="117">
        <f t="shared" si="6"/>
        <v>1908.96</v>
      </c>
      <c r="L69" s="118">
        <v>185.43</v>
      </c>
      <c r="M69" s="116">
        <v>239.71</v>
      </c>
      <c r="N69" s="117">
        <v>1917.68</v>
      </c>
      <c r="P69" s="118">
        <f t="shared" si="0"/>
        <v>0.8400000000000034</v>
      </c>
      <c r="Q69" s="116">
        <f t="shared" si="1"/>
        <v>1.0900000000000034</v>
      </c>
      <c r="R69" s="117">
        <f t="shared" si="2"/>
        <v>8.720000000000027</v>
      </c>
      <c r="S69" s="409">
        <f t="shared" si="3"/>
        <v>0.9954699886749717</v>
      </c>
    </row>
    <row r="70" spans="1:19" s="288" customFormat="1" ht="13.5">
      <c r="A70" s="256">
        <v>12</v>
      </c>
      <c r="B70" s="294"/>
      <c r="C70" s="295"/>
      <c r="D70" s="300" t="s">
        <v>409</v>
      </c>
      <c r="E70" s="297"/>
      <c r="F70" s="297"/>
      <c r="G70" s="298"/>
      <c r="H70" s="298"/>
      <c r="I70" s="299">
        <f>SUM(I71:I79)</f>
        <v>14347.739999999998</v>
      </c>
      <c r="K70" s="289"/>
      <c r="L70" s="298"/>
      <c r="M70" s="298"/>
      <c r="N70" s="299">
        <v>14386.579999999998</v>
      </c>
      <c r="P70" s="298">
        <f t="shared" si="0"/>
        <v>0</v>
      </c>
      <c r="Q70" s="298">
        <f t="shared" si="1"/>
        <v>0</v>
      </c>
      <c r="R70" s="299">
        <f t="shared" si="2"/>
        <v>38.840000000000146</v>
      </c>
      <c r="S70" s="408" t="e">
        <f t="shared" si="3"/>
        <v>#DIV/0!</v>
      </c>
    </row>
    <row r="71" spans="1:19" s="3" customFormat="1" ht="67.5">
      <c r="A71" s="13" t="s">
        <v>288</v>
      </c>
      <c r="B71" s="25" t="s">
        <v>99</v>
      </c>
      <c r="C71" s="119" t="s">
        <v>410</v>
      </c>
      <c r="D71" s="176" t="s">
        <v>411</v>
      </c>
      <c r="E71" s="17" t="s">
        <v>179</v>
      </c>
      <c r="F71" s="19">
        <v>4</v>
      </c>
      <c r="G71" s="118">
        <f>COMPOSIÇÕES!G604</f>
        <v>644.54</v>
      </c>
      <c r="H71" s="116">
        <f>ROUND(G71*$J$9,2)</f>
        <v>833.2</v>
      </c>
      <c r="I71" s="117">
        <f aca="true" t="shared" si="7" ref="I71:I79">ROUND(F71*H71,2)</f>
        <v>3332.8</v>
      </c>
      <c r="L71" s="118">
        <v>646.03</v>
      </c>
      <c r="M71" s="116">
        <v>835.12</v>
      </c>
      <c r="N71" s="117">
        <v>3340.48</v>
      </c>
      <c r="P71" s="118">
        <f t="shared" si="0"/>
        <v>1.490000000000009</v>
      </c>
      <c r="Q71" s="116">
        <f t="shared" si="1"/>
        <v>1.919999999999959</v>
      </c>
      <c r="R71" s="117">
        <f t="shared" si="2"/>
        <v>7.679999999999836</v>
      </c>
      <c r="S71" s="409">
        <f t="shared" si="3"/>
        <v>0.9976936055601133</v>
      </c>
    </row>
    <row r="72" spans="1:19" s="3" customFormat="1" ht="81">
      <c r="A72" s="13" t="s">
        <v>289</v>
      </c>
      <c r="B72" s="25" t="s">
        <v>99</v>
      </c>
      <c r="C72" s="119" t="s">
        <v>412</v>
      </c>
      <c r="D72" s="176" t="s">
        <v>413</v>
      </c>
      <c r="E72" s="17" t="s">
        <v>179</v>
      </c>
      <c r="F72" s="19">
        <v>4</v>
      </c>
      <c r="G72" s="118">
        <f>COMPOSIÇÕES!G617</f>
        <v>982.85</v>
      </c>
      <c r="H72" s="116">
        <f>ROUND(G72*$J$9,2)</f>
        <v>1270.53</v>
      </c>
      <c r="I72" s="117">
        <f t="shared" si="7"/>
        <v>5082.12</v>
      </c>
      <c r="L72" s="118">
        <v>985.12</v>
      </c>
      <c r="M72" s="116">
        <v>1273.46</v>
      </c>
      <c r="N72" s="117">
        <v>5093.84</v>
      </c>
      <c r="P72" s="118">
        <f t="shared" si="0"/>
        <v>2.269999999999982</v>
      </c>
      <c r="Q72" s="116">
        <f t="shared" si="1"/>
        <v>2.9300000000000637</v>
      </c>
      <c r="R72" s="117">
        <f t="shared" si="2"/>
        <v>11.720000000000255</v>
      </c>
      <c r="S72" s="409">
        <f t="shared" si="3"/>
        <v>0.9976957121974988</v>
      </c>
    </row>
    <row r="73" spans="1:19" s="3" customFormat="1" ht="81">
      <c r="A73" s="13" t="s">
        <v>290</v>
      </c>
      <c r="B73" s="25" t="s">
        <v>99</v>
      </c>
      <c r="C73" s="119" t="s">
        <v>414</v>
      </c>
      <c r="D73" s="176" t="s">
        <v>415</v>
      </c>
      <c r="E73" s="17" t="s">
        <v>179</v>
      </c>
      <c r="F73" s="19">
        <v>2</v>
      </c>
      <c r="G73" s="118">
        <f>COMPOSIÇÕES!G629</f>
        <v>892.44</v>
      </c>
      <c r="H73" s="116">
        <f>ROUND(G73*$J$9,2)</f>
        <v>1153.66</v>
      </c>
      <c r="I73" s="117">
        <f t="shared" si="7"/>
        <v>2307.32</v>
      </c>
      <c r="L73" s="118">
        <v>894.49</v>
      </c>
      <c r="M73" s="116">
        <v>1156.31</v>
      </c>
      <c r="N73" s="117">
        <v>2312.62</v>
      </c>
      <c r="P73" s="118">
        <f t="shared" si="0"/>
        <v>2.0499999999999545</v>
      </c>
      <c r="Q73" s="116">
        <f t="shared" si="1"/>
        <v>2.6499999999998636</v>
      </c>
      <c r="R73" s="117">
        <f t="shared" si="2"/>
        <v>5.299999999999727</v>
      </c>
      <c r="S73" s="409">
        <f t="shared" si="3"/>
        <v>0.9977081912598241</v>
      </c>
    </row>
    <row r="74" spans="1:19" s="3" customFormat="1" ht="40.5">
      <c r="A74" s="13" t="s">
        <v>403</v>
      </c>
      <c r="B74" s="25" t="s">
        <v>99</v>
      </c>
      <c r="C74" s="119" t="s">
        <v>416</v>
      </c>
      <c r="D74" s="176" t="s">
        <v>417</v>
      </c>
      <c r="E74" s="17" t="s">
        <v>179</v>
      </c>
      <c r="F74" s="19">
        <v>4</v>
      </c>
      <c r="G74" s="118">
        <f>COMPOSIÇÕES!G641</f>
        <v>99.88</v>
      </c>
      <c r="H74" s="116">
        <f>ROUND(G74*$J$9,2)</f>
        <v>129.11</v>
      </c>
      <c r="I74" s="117">
        <f t="shared" si="7"/>
        <v>516.44</v>
      </c>
      <c r="L74" s="118">
        <v>100.1</v>
      </c>
      <c r="M74" s="116">
        <v>129.4</v>
      </c>
      <c r="N74" s="117">
        <v>517.6</v>
      </c>
      <c r="P74" s="118">
        <f t="shared" si="0"/>
        <v>0.21999999999999886</v>
      </c>
      <c r="Q74" s="116">
        <f t="shared" si="1"/>
        <v>0.28999999999999204</v>
      </c>
      <c r="R74" s="117">
        <f t="shared" si="2"/>
        <v>1.1599999999999682</v>
      </c>
      <c r="S74" s="409">
        <f t="shared" si="3"/>
        <v>0.9978021978021978</v>
      </c>
    </row>
    <row r="75" spans="1:19" s="3" customFormat="1" ht="27">
      <c r="A75" s="13" t="s">
        <v>404</v>
      </c>
      <c r="B75" s="25" t="s">
        <v>99</v>
      </c>
      <c r="C75" s="119" t="s">
        <v>418</v>
      </c>
      <c r="D75" s="176" t="s">
        <v>419</v>
      </c>
      <c r="E75" s="17" t="s">
        <v>179</v>
      </c>
      <c r="F75" s="19">
        <v>4</v>
      </c>
      <c r="G75" s="118">
        <f>COMPOSIÇÕES!G652</f>
        <v>49.02</v>
      </c>
      <c r="H75" s="116">
        <f>ROUND(G75*$J$9,2)</f>
        <v>63.37</v>
      </c>
      <c r="I75" s="117">
        <f t="shared" si="7"/>
        <v>253.48</v>
      </c>
      <c r="L75" s="118">
        <v>49.17</v>
      </c>
      <c r="M75" s="116">
        <v>63.56</v>
      </c>
      <c r="N75" s="117">
        <v>254.24</v>
      </c>
      <c r="P75" s="118">
        <f t="shared" si="0"/>
        <v>0.14999999999999858</v>
      </c>
      <c r="Q75" s="116">
        <f t="shared" si="1"/>
        <v>0.19000000000000483</v>
      </c>
      <c r="R75" s="117">
        <f t="shared" si="2"/>
        <v>0.7600000000000193</v>
      </c>
      <c r="S75" s="409">
        <f t="shared" si="3"/>
        <v>0.9969493593654668</v>
      </c>
    </row>
    <row r="76" spans="1:19" s="3" customFormat="1" ht="40.5">
      <c r="A76" s="13" t="s">
        <v>405</v>
      </c>
      <c r="B76" s="25" t="s">
        <v>99</v>
      </c>
      <c r="C76" s="119" t="s">
        <v>420</v>
      </c>
      <c r="D76" s="176" t="s">
        <v>421</v>
      </c>
      <c r="E76" s="17" t="s">
        <v>179</v>
      </c>
      <c r="F76" s="19">
        <v>4</v>
      </c>
      <c r="G76" s="118">
        <f>COMPOSIÇÕES!G663</f>
        <v>47.99</v>
      </c>
      <c r="H76" s="116">
        <f>ROUND(G76*$J$9,2)</f>
        <v>62.04</v>
      </c>
      <c r="I76" s="117">
        <f t="shared" si="7"/>
        <v>248.16</v>
      </c>
      <c r="L76" s="118">
        <v>48.14</v>
      </c>
      <c r="M76" s="116">
        <v>62.23</v>
      </c>
      <c r="N76" s="117">
        <v>248.92</v>
      </c>
      <c r="P76" s="118">
        <f aca="true" t="shared" si="8" ref="P76:P94">L76-G76</f>
        <v>0.14999999999999858</v>
      </c>
      <c r="Q76" s="116">
        <f aca="true" t="shared" si="9" ref="Q76:Q94">M76-H76</f>
        <v>0.18999999999999773</v>
      </c>
      <c r="R76" s="117">
        <f aca="true" t="shared" si="10" ref="R76:R94">N76-I76</f>
        <v>0.7599999999999909</v>
      </c>
      <c r="S76" s="409">
        <f t="shared" si="3"/>
        <v>0.9968840880764437</v>
      </c>
    </row>
    <row r="77" spans="1:19" s="3" customFormat="1" ht="40.5">
      <c r="A77" s="13" t="s">
        <v>406</v>
      </c>
      <c r="B77" s="25" t="s">
        <v>99</v>
      </c>
      <c r="C77" s="119" t="s">
        <v>422</v>
      </c>
      <c r="D77" s="176" t="s">
        <v>423</v>
      </c>
      <c r="E77" s="17" t="s">
        <v>179</v>
      </c>
      <c r="F77" s="19">
        <v>4</v>
      </c>
      <c r="G77" s="118">
        <f>COMPOSIÇÕES!G677</f>
        <v>15.129999999999999</v>
      </c>
      <c r="H77" s="116">
        <f>ROUND(G77*$J$9,2)</f>
        <v>19.56</v>
      </c>
      <c r="I77" s="117">
        <f t="shared" si="7"/>
        <v>78.24</v>
      </c>
      <c r="L77" s="118">
        <v>15.15</v>
      </c>
      <c r="M77" s="116">
        <v>19.58</v>
      </c>
      <c r="N77" s="117">
        <v>78.32</v>
      </c>
      <c r="P77" s="118">
        <f t="shared" si="8"/>
        <v>0.02000000000000135</v>
      </c>
      <c r="Q77" s="116">
        <f t="shared" si="9"/>
        <v>0.019999999999999574</v>
      </c>
      <c r="R77" s="117">
        <f t="shared" si="10"/>
        <v>0.0799999999999983</v>
      </c>
      <c r="S77" s="409">
        <f aca="true" t="shared" si="11" ref="S77:S94">G77/L77</f>
        <v>0.9986798679867986</v>
      </c>
    </row>
    <row r="78" spans="1:19" s="3" customFormat="1" ht="40.5">
      <c r="A78" s="13" t="s">
        <v>407</v>
      </c>
      <c r="B78" s="25" t="s">
        <v>100</v>
      </c>
      <c r="C78" s="119" t="s">
        <v>221</v>
      </c>
      <c r="D78" s="176" t="s">
        <v>424</v>
      </c>
      <c r="E78" s="17" t="s">
        <v>214</v>
      </c>
      <c r="F78" s="19">
        <v>6</v>
      </c>
      <c r="G78" s="118">
        <f>COMPOSIÇÕES!G686</f>
        <v>48.739999999999995</v>
      </c>
      <c r="H78" s="116">
        <f>ROUND(G78*$J$9,2)</f>
        <v>63.01</v>
      </c>
      <c r="I78" s="117">
        <f t="shared" si="7"/>
        <v>378.06</v>
      </c>
      <c r="L78" s="118">
        <v>48.86</v>
      </c>
      <c r="M78" s="116">
        <v>63.16</v>
      </c>
      <c r="N78" s="117">
        <v>378.96</v>
      </c>
      <c r="P78" s="118">
        <f t="shared" si="8"/>
        <v>0.12000000000000455</v>
      </c>
      <c r="Q78" s="116">
        <f t="shared" si="9"/>
        <v>0.14999999999999858</v>
      </c>
      <c r="R78" s="117">
        <f t="shared" si="10"/>
        <v>0.8999999999999773</v>
      </c>
      <c r="S78" s="409">
        <f t="shared" si="11"/>
        <v>0.9975440032746622</v>
      </c>
    </row>
    <row r="79" spans="1:19" s="3" customFormat="1" ht="54">
      <c r="A79" s="13" t="s">
        <v>408</v>
      </c>
      <c r="B79" s="25" t="s">
        <v>99</v>
      </c>
      <c r="C79" s="119" t="s">
        <v>425</v>
      </c>
      <c r="D79" s="176" t="s">
        <v>426</v>
      </c>
      <c r="E79" s="17" t="s">
        <v>179</v>
      </c>
      <c r="F79" s="19">
        <v>4</v>
      </c>
      <c r="G79" s="118">
        <f>COMPOSIÇÕES!G704</f>
        <v>416.01</v>
      </c>
      <c r="H79" s="116">
        <f>ROUND(G79*$J$9,2)</f>
        <v>537.78</v>
      </c>
      <c r="I79" s="117">
        <f t="shared" si="7"/>
        <v>2151.12</v>
      </c>
      <c r="L79" s="118">
        <v>418.04</v>
      </c>
      <c r="M79" s="116">
        <v>540.4</v>
      </c>
      <c r="N79" s="117">
        <v>2161.6</v>
      </c>
      <c r="P79" s="118">
        <f t="shared" si="8"/>
        <v>2.0300000000000296</v>
      </c>
      <c r="Q79" s="116">
        <f t="shared" si="9"/>
        <v>2.6200000000000045</v>
      </c>
      <c r="R79" s="117">
        <f t="shared" si="10"/>
        <v>10.480000000000018</v>
      </c>
      <c r="S79" s="409">
        <f t="shared" si="11"/>
        <v>0.9951440053583388</v>
      </c>
    </row>
    <row r="80" spans="1:19" s="288" customFormat="1" ht="13.5">
      <c r="A80" s="256">
        <v>13</v>
      </c>
      <c r="B80" s="294"/>
      <c r="C80" s="295"/>
      <c r="D80" s="300" t="s">
        <v>262</v>
      </c>
      <c r="E80" s="297"/>
      <c r="F80" s="297"/>
      <c r="G80" s="298"/>
      <c r="H80" s="298"/>
      <c r="I80" s="299">
        <f>SUM(I81:I86)</f>
        <v>47828.57</v>
      </c>
      <c r="K80" s="289"/>
      <c r="L80" s="298"/>
      <c r="M80" s="298"/>
      <c r="N80" s="299">
        <v>47978.6</v>
      </c>
      <c r="P80" s="298">
        <f t="shared" si="8"/>
        <v>0</v>
      </c>
      <c r="Q80" s="298">
        <f t="shared" si="9"/>
        <v>0</v>
      </c>
      <c r="R80" s="299">
        <f t="shared" si="10"/>
        <v>150.02999999999884</v>
      </c>
      <c r="S80" s="408" t="e">
        <f t="shared" si="11"/>
        <v>#DIV/0!</v>
      </c>
    </row>
    <row r="81" spans="1:19" s="3" customFormat="1" ht="27">
      <c r="A81" s="13" t="s">
        <v>291</v>
      </c>
      <c r="B81" s="25" t="s">
        <v>99</v>
      </c>
      <c r="C81" s="119" t="s">
        <v>263</v>
      </c>
      <c r="D81" s="176" t="s">
        <v>264</v>
      </c>
      <c r="E81" s="17" t="s">
        <v>179</v>
      </c>
      <c r="F81" s="19">
        <v>20</v>
      </c>
      <c r="G81" s="118">
        <f>COMPOSIÇÕES!G717</f>
        <v>292.98</v>
      </c>
      <c r="H81" s="116">
        <f>ROUND(G81*$J$9,2)</f>
        <v>378.74</v>
      </c>
      <c r="I81" s="117">
        <f aca="true" t="shared" si="12" ref="I81:I86">ROUND(F81*H81,2)</f>
        <v>7574.8</v>
      </c>
      <c r="L81" s="118">
        <v>294.25</v>
      </c>
      <c r="M81" s="116">
        <v>380.38</v>
      </c>
      <c r="N81" s="117">
        <v>7607.6</v>
      </c>
      <c r="P81" s="118">
        <f t="shared" si="8"/>
        <v>1.2699999999999818</v>
      </c>
      <c r="Q81" s="116">
        <f t="shared" si="9"/>
        <v>1.6399999999999864</v>
      </c>
      <c r="R81" s="117">
        <f t="shared" si="10"/>
        <v>32.80000000000018</v>
      </c>
      <c r="S81" s="409">
        <f t="shared" si="11"/>
        <v>0.9956839422259983</v>
      </c>
    </row>
    <row r="82" spans="1:19" s="3" customFormat="1" ht="27">
      <c r="A82" s="13" t="s">
        <v>431</v>
      </c>
      <c r="B82" s="25" t="s">
        <v>99</v>
      </c>
      <c r="C82" s="119" t="s">
        <v>265</v>
      </c>
      <c r="D82" s="176" t="s">
        <v>266</v>
      </c>
      <c r="E82" s="17" t="s">
        <v>179</v>
      </c>
      <c r="F82" s="19">
        <v>20</v>
      </c>
      <c r="G82" s="118">
        <f>COMPOSIÇÕES!G728</f>
        <v>57.88</v>
      </c>
      <c r="H82" s="116">
        <f>ROUND(G82*$J$9,2)</f>
        <v>74.82</v>
      </c>
      <c r="I82" s="117">
        <f t="shared" si="12"/>
        <v>1496.4</v>
      </c>
      <c r="L82" s="118">
        <v>58.11</v>
      </c>
      <c r="M82" s="116">
        <v>75.12</v>
      </c>
      <c r="N82" s="117">
        <v>1502.4</v>
      </c>
      <c r="P82" s="118">
        <f t="shared" si="8"/>
        <v>0.22999999999999687</v>
      </c>
      <c r="Q82" s="116">
        <f t="shared" si="9"/>
        <v>0.30000000000001137</v>
      </c>
      <c r="R82" s="117">
        <f t="shared" si="10"/>
        <v>6</v>
      </c>
      <c r="S82" s="409">
        <f t="shared" si="11"/>
        <v>0.99604198933058</v>
      </c>
    </row>
    <row r="83" spans="1:19" s="3" customFormat="1" ht="40.5">
      <c r="A83" s="13" t="s">
        <v>432</v>
      </c>
      <c r="B83" s="25" t="s">
        <v>197</v>
      </c>
      <c r="C83" s="119" t="s">
        <v>427</v>
      </c>
      <c r="D83" s="176" t="s">
        <v>428</v>
      </c>
      <c r="E83" s="17" t="s">
        <v>214</v>
      </c>
      <c r="F83" s="19">
        <v>20</v>
      </c>
      <c r="G83" s="118">
        <f>COMPOSIÇÕES!G737</f>
        <v>57.34</v>
      </c>
      <c r="H83" s="116">
        <f>ROUND(G83*$J$9,2)</f>
        <v>74.12</v>
      </c>
      <c r="I83" s="117">
        <f t="shared" si="12"/>
        <v>1482.4</v>
      </c>
      <c r="L83" s="118">
        <v>57.47</v>
      </c>
      <c r="M83" s="116">
        <v>74.29</v>
      </c>
      <c r="N83" s="117">
        <v>1485.8</v>
      </c>
      <c r="P83" s="118">
        <f t="shared" si="8"/>
        <v>0.12999999999999545</v>
      </c>
      <c r="Q83" s="116">
        <f t="shared" si="9"/>
        <v>0.1700000000000017</v>
      </c>
      <c r="R83" s="117">
        <f t="shared" si="10"/>
        <v>3.3999999999998636</v>
      </c>
      <c r="S83" s="409">
        <f t="shared" si="11"/>
        <v>0.9977379502349053</v>
      </c>
    </row>
    <row r="84" spans="1:19" s="3" customFormat="1" ht="13.5">
      <c r="A84" s="13" t="s">
        <v>433</v>
      </c>
      <c r="B84" s="25" t="s">
        <v>99</v>
      </c>
      <c r="C84" s="119" t="s">
        <v>267</v>
      </c>
      <c r="D84" s="176" t="s">
        <v>173</v>
      </c>
      <c r="E84" s="17" t="s">
        <v>177</v>
      </c>
      <c r="F84" s="19">
        <v>1038.28</v>
      </c>
      <c r="G84" s="118">
        <f>COMPOSIÇÕES!G748</f>
        <v>10.45</v>
      </c>
      <c r="H84" s="116">
        <f>ROUND(G84*$J$9,2)</f>
        <v>13.51</v>
      </c>
      <c r="I84" s="117">
        <f t="shared" si="12"/>
        <v>14027.16</v>
      </c>
      <c r="L84" s="118">
        <v>10.49</v>
      </c>
      <c r="M84" s="116">
        <v>13.56</v>
      </c>
      <c r="N84" s="117">
        <v>14079.08</v>
      </c>
      <c r="P84" s="118">
        <f t="shared" si="8"/>
        <v>0.040000000000000924</v>
      </c>
      <c r="Q84" s="116">
        <f t="shared" si="9"/>
        <v>0.05000000000000071</v>
      </c>
      <c r="R84" s="117">
        <f t="shared" si="10"/>
        <v>51.92000000000007</v>
      </c>
      <c r="S84" s="409">
        <f t="shared" si="11"/>
        <v>0.9961868446139179</v>
      </c>
    </row>
    <row r="85" spans="1:19" s="173" customFormat="1" ht="27">
      <c r="A85" s="13" t="s">
        <v>434</v>
      </c>
      <c r="B85" s="25" t="s">
        <v>100</v>
      </c>
      <c r="C85" s="119" t="s">
        <v>188</v>
      </c>
      <c r="D85" s="176" t="s">
        <v>429</v>
      </c>
      <c r="E85" s="17" t="s">
        <v>179</v>
      </c>
      <c r="F85" s="19">
        <v>38</v>
      </c>
      <c r="G85" s="118">
        <f>COMPOSIÇÕES!G764</f>
        <v>354.37</v>
      </c>
      <c r="H85" s="116">
        <f>ROUND(G85*$J$9,2)</f>
        <v>458.09</v>
      </c>
      <c r="I85" s="117">
        <f t="shared" si="12"/>
        <v>17407.42</v>
      </c>
      <c r="L85" s="118">
        <v>355.21</v>
      </c>
      <c r="M85" s="116">
        <v>459.18</v>
      </c>
      <c r="N85" s="117">
        <v>17448.84</v>
      </c>
      <c r="P85" s="118">
        <f t="shared" si="8"/>
        <v>0.839999999999975</v>
      </c>
      <c r="Q85" s="116">
        <f t="shared" si="9"/>
        <v>1.0900000000000318</v>
      </c>
      <c r="R85" s="117">
        <f t="shared" si="10"/>
        <v>41.42000000000189</v>
      </c>
      <c r="S85" s="409">
        <f t="shared" si="11"/>
        <v>0.9976352017116636</v>
      </c>
    </row>
    <row r="86" spans="1:19" s="173" customFormat="1" ht="27">
      <c r="A86" s="13" t="s">
        <v>435</v>
      </c>
      <c r="B86" s="25" t="s">
        <v>100</v>
      </c>
      <c r="C86" s="119" t="s">
        <v>189</v>
      </c>
      <c r="D86" s="176" t="s">
        <v>430</v>
      </c>
      <c r="E86" s="17" t="s">
        <v>179</v>
      </c>
      <c r="F86" s="19">
        <v>23</v>
      </c>
      <c r="G86" s="118">
        <f>COMPOSIÇÕES!G780</f>
        <v>196.43</v>
      </c>
      <c r="H86" s="116">
        <f>ROUND(G86*$J$9,2)</f>
        <v>253.93</v>
      </c>
      <c r="I86" s="117">
        <f t="shared" si="12"/>
        <v>5840.39</v>
      </c>
      <c r="L86" s="118">
        <v>196.92</v>
      </c>
      <c r="M86" s="116">
        <v>254.56</v>
      </c>
      <c r="N86" s="117">
        <v>5854.88</v>
      </c>
      <c r="P86" s="118">
        <f t="shared" si="8"/>
        <v>0.4899999999999807</v>
      </c>
      <c r="Q86" s="116">
        <f t="shared" si="9"/>
        <v>0.6299999999999955</v>
      </c>
      <c r="R86" s="117">
        <f t="shared" si="10"/>
        <v>14.489999999999782</v>
      </c>
      <c r="S86" s="409">
        <f t="shared" si="11"/>
        <v>0.9975116798699981</v>
      </c>
    </row>
    <row r="87" spans="1:19" s="288" customFormat="1" ht="13.5">
      <c r="A87" s="256">
        <v>14</v>
      </c>
      <c r="B87" s="294"/>
      <c r="C87" s="295"/>
      <c r="D87" s="300" t="s">
        <v>440</v>
      </c>
      <c r="E87" s="297"/>
      <c r="F87" s="297"/>
      <c r="G87" s="298"/>
      <c r="H87" s="298"/>
      <c r="I87" s="299">
        <f>SUM(I88:I92)</f>
        <v>75479.08</v>
      </c>
      <c r="K87" s="289"/>
      <c r="L87" s="298"/>
      <c r="M87" s="298"/>
      <c r="N87" s="299">
        <v>75816.11</v>
      </c>
      <c r="P87" s="298">
        <f t="shared" si="8"/>
        <v>0</v>
      </c>
      <c r="Q87" s="298">
        <f t="shared" si="9"/>
        <v>0</v>
      </c>
      <c r="R87" s="299">
        <f t="shared" si="10"/>
        <v>337.02999999999884</v>
      </c>
      <c r="S87" s="408" t="e">
        <f t="shared" si="11"/>
        <v>#DIV/0!</v>
      </c>
    </row>
    <row r="88" spans="1:19" s="173" customFormat="1" ht="27">
      <c r="A88" s="13" t="s">
        <v>292</v>
      </c>
      <c r="B88" s="25" t="s">
        <v>100</v>
      </c>
      <c r="C88" s="119" t="s">
        <v>194</v>
      </c>
      <c r="D88" s="176" t="s">
        <v>441</v>
      </c>
      <c r="E88" s="17" t="s">
        <v>177</v>
      </c>
      <c r="F88" s="19">
        <v>450</v>
      </c>
      <c r="G88" s="118">
        <f>COMPOSIÇÕES!G790</f>
        <v>35.870000000000005</v>
      </c>
      <c r="H88" s="116">
        <f>ROUND(G88*$J$9,2)</f>
        <v>46.37</v>
      </c>
      <c r="I88" s="117">
        <f>ROUND(F88*H88,2)</f>
        <v>20866.5</v>
      </c>
      <c r="L88" s="118">
        <v>36.07</v>
      </c>
      <c r="M88" s="116">
        <v>46.63</v>
      </c>
      <c r="N88" s="117">
        <v>20983.5</v>
      </c>
      <c r="P88" s="118">
        <f t="shared" si="8"/>
        <v>0.19999999999999574</v>
      </c>
      <c r="Q88" s="116">
        <f t="shared" si="9"/>
        <v>0.2600000000000051</v>
      </c>
      <c r="R88" s="117">
        <f t="shared" si="10"/>
        <v>117</v>
      </c>
      <c r="S88" s="409">
        <f t="shared" si="11"/>
        <v>0.9944552259495427</v>
      </c>
    </row>
    <row r="89" spans="1:19" s="3" customFormat="1" ht="81">
      <c r="A89" s="13" t="s">
        <v>436</v>
      </c>
      <c r="B89" s="25" t="s">
        <v>99</v>
      </c>
      <c r="C89" s="119" t="s">
        <v>442</v>
      </c>
      <c r="D89" s="176" t="s">
        <v>443</v>
      </c>
      <c r="E89" s="17" t="s">
        <v>177</v>
      </c>
      <c r="F89" s="19">
        <v>137.6</v>
      </c>
      <c r="G89" s="118">
        <f>COMPOSIÇÕES!G806</f>
        <v>170.89</v>
      </c>
      <c r="H89" s="116">
        <f>ROUND(G89*$J$9,2)</f>
        <v>220.91</v>
      </c>
      <c r="I89" s="117">
        <f>ROUND(F89*H89,2)</f>
        <v>30397.22</v>
      </c>
      <c r="L89" s="118">
        <v>171.48</v>
      </c>
      <c r="M89" s="116">
        <v>221.67</v>
      </c>
      <c r="N89" s="117">
        <v>30501.79</v>
      </c>
      <c r="P89" s="118">
        <f t="shared" si="8"/>
        <v>0.5900000000000034</v>
      </c>
      <c r="Q89" s="116">
        <f t="shared" si="9"/>
        <v>0.7599999999999909</v>
      </c>
      <c r="R89" s="117">
        <f t="shared" si="10"/>
        <v>104.56999999999971</v>
      </c>
      <c r="S89" s="409">
        <f t="shared" si="11"/>
        <v>0.9965593655236762</v>
      </c>
    </row>
    <row r="90" spans="1:19" s="173" customFormat="1" ht="27">
      <c r="A90" s="13" t="s">
        <v>437</v>
      </c>
      <c r="B90" s="25" t="s">
        <v>100</v>
      </c>
      <c r="C90" s="119" t="s">
        <v>252</v>
      </c>
      <c r="D90" s="176" t="s">
        <v>444</v>
      </c>
      <c r="E90" s="17" t="s">
        <v>179</v>
      </c>
      <c r="F90" s="19">
        <v>1</v>
      </c>
      <c r="G90" s="118">
        <f>COMPOSIÇÕES!G817</f>
        <v>3151.8100000000004</v>
      </c>
      <c r="H90" s="116">
        <f>ROUND(G90*$J$9,2)</f>
        <v>4074.34</v>
      </c>
      <c r="I90" s="117">
        <f>ROUND(F90*H90,2)</f>
        <v>4074.34</v>
      </c>
      <c r="L90" s="118">
        <v>3159.5200000000004</v>
      </c>
      <c r="M90" s="116">
        <v>4084.31</v>
      </c>
      <c r="N90" s="117">
        <v>4084.31</v>
      </c>
      <c r="P90" s="118">
        <f t="shared" si="8"/>
        <v>7.710000000000036</v>
      </c>
      <c r="Q90" s="116">
        <f t="shared" si="9"/>
        <v>9.9699999999998</v>
      </c>
      <c r="R90" s="117">
        <f t="shared" si="10"/>
        <v>9.9699999999998</v>
      </c>
      <c r="S90" s="409">
        <f t="shared" si="11"/>
        <v>0.9975597559122905</v>
      </c>
    </row>
    <row r="91" spans="1:19" s="173" customFormat="1" ht="27">
      <c r="A91" s="13" t="s">
        <v>438</v>
      </c>
      <c r="B91" s="25" t="s">
        <v>100</v>
      </c>
      <c r="C91" s="119" t="s">
        <v>253</v>
      </c>
      <c r="D91" s="176" t="s">
        <v>445</v>
      </c>
      <c r="E91" s="17" t="s">
        <v>179</v>
      </c>
      <c r="F91" s="19">
        <v>1</v>
      </c>
      <c r="G91" s="118">
        <f>COMPOSIÇÕES!G828</f>
        <v>5123.969999999999</v>
      </c>
      <c r="H91" s="116">
        <f>ROUND(G91*$J$9,2)</f>
        <v>6623.76</v>
      </c>
      <c r="I91" s="117">
        <f>ROUND(F91*H91,2)</f>
        <v>6623.76</v>
      </c>
      <c r="L91" s="118">
        <v>5136.219999999999</v>
      </c>
      <c r="M91" s="116">
        <v>6639.59</v>
      </c>
      <c r="N91" s="117">
        <v>6639.59</v>
      </c>
      <c r="P91" s="118">
        <f t="shared" si="8"/>
        <v>12.25</v>
      </c>
      <c r="Q91" s="116">
        <f t="shared" si="9"/>
        <v>15.829999999999927</v>
      </c>
      <c r="R91" s="117">
        <f t="shared" si="10"/>
        <v>15.829999999999927</v>
      </c>
      <c r="S91" s="409">
        <f t="shared" si="11"/>
        <v>0.9976149775515847</v>
      </c>
    </row>
    <row r="92" spans="1:19" s="173" customFormat="1" ht="27">
      <c r="A92" s="13" t="s">
        <v>439</v>
      </c>
      <c r="B92" s="25" t="s">
        <v>100</v>
      </c>
      <c r="C92" s="119" t="s">
        <v>254</v>
      </c>
      <c r="D92" s="176" t="s">
        <v>446</v>
      </c>
      <c r="E92" s="17" t="s">
        <v>177</v>
      </c>
      <c r="F92" s="19">
        <v>527.4</v>
      </c>
      <c r="G92" s="118">
        <f>COMPOSIÇÕES!G840</f>
        <v>19.830000000000002</v>
      </c>
      <c r="H92" s="116">
        <f>ROUND(G92*$J$9,2)</f>
        <v>25.63</v>
      </c>
      <c r="I92" s="117">
        <f>ROUND(F92*H92,2)</f>
        <v>13517.26</v>
      </c>
      <c r="L92" s="118">
        <v>19.96</v>
      </c>
      <c r="M92" s="116">
        <v>25.8</v>
      </c>
      <c r="N92" s="117">
        <v>13606.92</v>
      </c>
      <c r="P92" s="118">
        <f t="shared" si="8"/>
        <v>0.129999999999999</v>
      </c>
      <c r="Q92" s="116">
        <f t="shared" si="9"/>
        <v>0.1700000000000017</v>
      </c>
      <c r="R92" s="117">
        <f t="shared" si="10"/>
        <v>89.65999999999985</v>
      </c>
      <c r="S92" s="409">
        <f t="shared" si="11"/>
        <v>0.9934869739478959</v>
      </c>
    </row>
    <row r="93" spans="1:19" s="288" customFormat="1" ht="13.5">
      <c r="A93" s="256">
        <v>15</v>
      </c>
      <c r="B93" s="294"/>
      <c r="C93" s="295"/>
      <c r="D93" s="300" t="s">
        <v>268</v>
      </c>
      <c r="E93" s="297"/>
      <c r="F93" s="297"/>
      <c r="G93" s="298"/>
      <c r="H93" s="298"/>
      <c r="I93" s="299">
        <f>SUM(I94:I94)</f>
        <v>1050.72</v>
      </c>
      <c r="K93" s="289"/>
      <c r="L93" s="298"/>
      <c r="M93" s="298"/>
      <c r="N93" s="299">
        <v>1057.76</v>
      </c>
      <c r="P93" s="298">
        <f t="shared" si="8"/>
        <v>0</v>
      </c>
      <c r="Q93" s="298">
        <f t="shared" si="9"/>
        <v>0</v>
      </c>
      <c r="R93" s="299">
        <f t="shared" si="10"/>
        <v>7.039999999999964</v>
      </c>
      <c r="S93" s="408" t="e">
        <f t="shared" si="11"/>
        <v>#DIV/0!</v>
      </c>
    </row>
    <row r="94" spans="1:19" s="173" customFormat="1" ht="13.5">
      <c r="A94" s="13" t="s">
        <v>447</v>
      </c>
      <c r="B94" s="25" t="s">
        <v>100</v>
      </c>
      <c r="C94" s="119" t="s">
        <v>195</v>
      </c>
      <c r="D94" s="176" t="s">
        <v>269</v>
      </c>
      <c r="E94" s="17" t="s">
        <v>177</v>
      </c>
      <c r="F94" s="19">
        <v>176</v>
      </c>
      <c r="G94" s="118">
        <f>COMPOSIÇÕES!G850</f>
        <v>4.62</v>
      </c>
      <c r="H94" s="116">
        <f>ROUND(G94*$J$9,2)</f>
        <v>5.97</v>
      </c>
      <c r="I94" s="117">
        <f>ROUND(F94*H94,2)</f>
        <v>1050.72</v>
      </c>
      <c r="L94" s="118">
        <v>4.6499999999999995</v>
      </c>
      <c r="M94" s="116">
        <v>6.01</v>
      </c>
      <c r="N94" s="117">
        <v>1057.76</v>
      </c>
      <c r="P94" s="118">
        <f t="shared" si="8"/>
        <v>0.02999999999999936</v>
      </c>
      <c r="Q94" s="116">
        <f t="shared" si="9"/>
        <v>0.040000000000000036</v>
      </c>
      <c r="R94" s="117">
        <f t="shared" si="10"/>
        <v>7.039999999999964</v>
      </c>
      <c r="S94" s="409">
        <f t="shared" si="11"/>
        <v>0.9935483870967743</v>
      </c>
    </row>
    <row r="95" spans="1:19" s="3" customFormat="1" ht="14.25" thickBot="1">
      <c r="A95" s="26"/>
      <c r="B95" s="27"/>
      <c r="C95" s="120"/>
      <c r="D95" s="28"/>
      <c r="E95" s="27"/>
      <c r="F95" s="177"/>
      <c r="G95" s="177"/>
      <c r="H95" s="178"/>
      <c r="I95" s="29"/>
      <c r="L95" s="177"/>
      <c r="M95" s="178"/>
      <c r="N95" s="29"/>
      <c r="P95" s="177"/>
      <c r="Q95" s="178"/>
      <c r="R95" s="29"/>
      <c r="S95" s="410"/>
    </row>
    <row r="96" spans="1:22" s="288" customFormat="1" ht="17.25" thickBot="1">
      <c r="A96" s="301" t="s">
        <v>7</v>
      </c>
      <c r="B96" s="302"/>
      <c r="C96" s="302"/>
      <c r="D96" s="302"/>
      <c r="E96" s="302"/>
      <c r="F96" s="302"/>
      <c r="G96" s="303"/>
      <c r="H96" s="304">
        <f>SUM(I93,I80,I70,I59,I49,I44,I41,I36,I33,I29,I27,I15,I13,I11,I87)</f>
        <v>482044.33</v>
      </c>
      <c r="I96" s="305"/>
      <c r="K96" s="306"/>
      <c r="L96" s="306"/>
      <c r="M96" s="304">
        <f>SUM(N93,N80,N70,N59,N49,N44,N41,N36,N33,N29,N27,N15,N13,N11,N87)</f>
        <v>483768.51</v>
      </c>
      <c r="N96" s="305"/>
      <c r="O96" s="307"/>
      <c r="P96" s="306"/>
      <c r="Q96" s="304">
        <f>M96-H96</f>
        <v>1724.179999999993</v>
      </c>
      <c r="R96" s="305"/>
      <c r="S96" s="411"/>
      <c r="U96" s="308"/>
      <c r="V96" s="309"/>
    </row>
    <row r="97" spans="1:22" ht="14.25" customHeight="1">
      <c r="A97" s="20"/>
      <c r="B97" s="20"/>
      <c r="C97" s="121"/>
      <c r="D97" s="21"/>
      <c r="E97" s="20"/>
      <c r="F97" s="20"/>
      <c r="G97" s="20"/>
      <c r="H97" s="22"/>
      <c r="I97" s="23"/>
      <c r="K97" s="171"/>
      <c r="L97" s="267"/>
      <c r="M97" s="268"/>
      <c r="N97" s="269"/>
      <c r="O97" s="172"/>
      <c r="P97" s="267"/>
      <c r="Q97" s="268"/>
      <c r="R97" s="269"/>
      <c r="S97" s="412"/>
      <c r="V97" s="8"/>
    </row>
    <row r="98" spans="4:18" ht="12" customHeight="1">
      <c r="D98" s="7"/>
      <c r="I98" s="9"/>
      <c r="J98" s="2"/>
      <c r="N98" s="264"/>
      <c r="R98" s="264"/>
    </row>
    <row r="99" spans="9:19" ht="12" customHeight="1">
      <c r="I99" s="10"/>
      <c r="N99" s="265"/>
      <c r="R99" s="265"/>
      <c r="S99" s="413"/>
    </row>
    <row r="101" spans="8:19" ht="12" customHeight="1">
      <c r="H101" s="16"/>
      <c r="I101" s="18"/>
      <c r="M101" s="377"/>
      <c r="N101" s="378"/>
      <c r="Q101" s="377"/>
      <c r="R101" s="378"/>
      <c r="S101" s="414"/>
    </row>
  </sheetData>
  <sheetProtection/>
  <mergeCells count="25">
    <mergeCell ref="B9:B10"/>
    <mergeCell ref="C9:C10"/>
    <mergeCell ref="A8:I8"/>
    <mergeCell ref="H9:H10"/>
    <mergeCell ref="I9:I10"/>
    <mergeCell ref="A9:A10"/>
    <mergeCell ref="E9:E10"/>
    <mergeCell ref="F9:F10"/>
    <mergeCell ref="G9:G10"/>
    <mergeCell ref="D9:D10"/>
    <mergeCell ref="A1:K1"/>
    <mergeCell ref="A3:I3"/>
    <mergeCell ref="A2:I2"/>
    <mergeCell ref="A4:I4"/>
    <mergeCell ref="L9:L10"/>
    <mergeCell ref="M9:M10"/>
    <mergeCell ref="N9:N10"/>
    <mergeCell ref="M96:N96"/>
    <mergeCell ref="P9:P10"/>
    <mergeCell ref="Q9:Q10"/>
    <mergeCell ref="Q96:R96"/>
    <mergeCell ref="A96:G96"/>
    <mergeCell ref="H96:I96"/>
    <mergeCell ref="R9:R10"/>
    <mergeCell ref="S9:S10"/>
  </mergeCells>
  <conditionalFormatting sqref="S1:S65536">
    <cfRule type="cellIs" priority="2" dxfId="28" operator="lessThan" stopIfTrue="1">
      <formula>0.7</formula>
    </cfRule>
  </conditionalFormatting>
  <conditionalFormatting sqref="P1:R65536">
    <cfRule type="cellIs" priority="1" dxfId="28" operator="lessThan" stopIfTrue="1">
      <formula>0</formula>
    </cfRule>
  </conditionalFormatting>
  <printOptions horizontalCentered="1"/>
  <pageMargins left="0.3937007874015748" right="0.3937007874015748" top="0.3937007874015748" bottom="0.984251968503937" header="0.2362204724409449" footer="0.3937007874015748"/>
  <pageSetup horizontalDpi="300" verticalDpi="300" orientation="portrait" paperSize="9" scale="90" r:id="rId2"/>
  <headerFooter alignWithMargins="0">
    <oddFooter>&amp;C&amp;"Arial Narrow,Negrito"&amp;9TV VICTOR PRAXEDES, Nº 105, BAIRRO DA QUINTA, CEP 68.786-000.
SANTO ANTONIO DO TAUA – PA
TEMAXCONSTRUTORA@GMAIL.COM / (85) 99820-4301&amp;R&amp;"Arial Narrow,Negrito"&amp;9&amp;P/&amp;N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78"/>
  <sheetViews>
    <sheetView showGridLines="0" view="pageBreakPreview" zoomScale="115" zoomScaleNormal="85" zoomScaleSheetLayoutView="115" zoomScalePageLayoutView="0" workbookViewId="0" topLeftCell="A19">
      <selection activeCell="A7" sqref="A7:IV7"/>
    </sheetView>
  </sheetViews>
  <sheetFormatPr defaultColWidth="8.8515625" defaultRowHeight="12.75"/>
  <cols>
    <col min="1" max="1" width="7.421875" style="35" customWidth="1"/>
    <col min="2" max="2" width="8.8515625" style="35" customWidth="1"/>
    <col min="3" max="3" width="9.8515625" style="35" customWidth="1"/>
    <col min="4" max="4" width="20.57421875" style="35" customWidth="1"/>
    <col min="5" max="5" width="12.28125" style="35" customWidth="1"/>
    <col min="6" max="6" width="13.00390625" style="35" customWidth="1"/>
    <col min="7" max="8" width="13.7109375" style="35" customWidth="1"/>
    <col min="9" max="9" width="8.57421875" style="35" customWidth="1"/>
    <col min="10" max="10" width="6.28125" style="35" customWidth="1"/>
    <col min="11" max="11" width="14.7109375" style="35" customWidth="1"/>
    <col min="12" max="12" width="13.7109375" style="35" customWidth="1"/>
    <col min="13" max="14" width="11.57421875" style="35" bestFit="1" customWidth="1"/>
    <col min="15" max="16384" width="8.8515625" style="35" customWidth="1"/>
  </cols>
  <sheetData>
    <row r="1" spans="1:8" s="124" customFormat="1" ht="52.5" customHeight="1">
      <c r="A1" s="36"/>
      <c r="B1" s="36"/>
      <c r="C1" s="36"/>
      <c r="D1" s="36"/>
      <c r="E1" s="36"/>
      <c r="F1" s="36"/>
      <c r="G1" s="36"/>
      <c r="H1" s="36"/>
    </row>
    <row r="2" spans="1:10" s="124" customFormat="1" ht="40.5" customHeight="1">
      <c r="A2" s="203" t="str">
        <f>ORÇAMENTO!$A$2</f>
        <v>CONTRATAÇÃO DE EMPRESA DE ENGENHARIA PARA REFORMA E REVITALIZAÇÃO DA PRAÇA DA FAMILIA - BAIRRO VILA NOVA, VISANDO ATENDER AS NECESSIDADES DA SECRETARIA MUNICIPAL DE OBRAS, TRANSPORTE, ÁGUA E URBANISMO DO MUNICIPIO DE IPIXUNA DO PARÁ, EM CONFORMIDADE COM O PROJETO BÁSICO, PLANILHA ORÇAMENTÁRIA, CRONOGRAMA FISICO FINANCEIRO E MEMORIAL DESCRITIVO</v>
      </c>
      <c r="B2" s="203"/>
      <c r="C2" s="203"/>
      <c r="D2" s="203"/>
      <c r="E2" s="203"/>
      <c r="F2" s="203"/>
      <c r="G2" s="203"/>
      <c r="H2" s="203"/>
      <c r="I2" s="203"/>
      <c r="J2" s="203"/>
    </row>
    <row r="3" spans="1:8" s="124" customFormat="1" ht="12.75">
      <c r="A3" s="36" t="str">
        <f>ORÇAMENTO!$A$3</f>
        <v>PROCESSO ADMINISTRATIVO Nº 0905/2022</v>
      </c>
      <c r="B3" s="36"/>
      <c r="C3" s="36"/>
      <c r="D3" s="36"/>
      <c r="E3" s="36"/>
      <c r="F3" s="36"/>
      <c r="G3" s="36"/>
      <c r="H3" s="36"/>
    </row>
    <row r="4" spans="1:8" s="124" customFormat="1" ht="12.75">
      <c r="A4" s="36" t="str">
        <f>ORÇAMENTO!$A$4</f>
        <v>MODALIDADE: TOMADA DE PREÇOS Nº 0012/2022-TP </v>
      </c>
      <c r="B4" s="36"/>
      <c r="C4" s="36"/>
      <c r="D4" s="36"/>
      <c r="E4" s="36"/>
      <c r="F4" s="36"/>
      <c r="G4" s="36"/>
      <c r="H4" s="36"/>
    </row>
    <row r="5" spans="1:8" s="124" customFormat="1" ht="12.75">
      <c r="A5" s="36" t="str">
        <f>ORÇAMENTO!$A$5</f>
        <v>OBJETO:</v>
      </c>
      <c r="B5" s="36" t="str">
        <f>ORÇAMENTO!C5</f>
        <v>REFORMA E REVITALIZAÇÃO DA PRAÇA DA FAMÍLIA</v>
      </c>
      <c r="C5" s="36"/>
      <c r="D5" s="36"/>
      <c r="E5" s="36"/>
      <c r="F5" s="36"/>
      <c r="G5" s="36"/>
      <c r="H5" s="36"/>
    </row>
    <row r="6" spans="1:8" s="124" customFormat="1" ht="13.5">
      <c r="A6" s="36" t="str">
        <f>ORÇAMENTO!$A$6</f>
        <v>REFERÊNCIA: SINAPI FEVEREIRO/2022 - NÃO DESONERADO / SEDOP 02/2022 / SICRO OUTUBRO/2021</v>
      </c>
      <c r="B6" s="125"/>
      <c r="C6" s="125"/>
      <c r="D6" s="4"/>
      <c r="E6" s="4"/>
      <c r="F6" s="4"/>
      <c r="G6" s="36"/>
      <c r="H6" s="36"/>
    </row>
    <row r="7" spans="1:8" s="124" customFormat="1" ht="13.5" thickBot="1">
      <c r="A7" s="263" t="str">
        <f>ORÇAMENTO!H6</f>
        <v>BDI( % ):</v>
      </c>
      <c r="B7" s="311">
        <f>ORÇAMENTO!I6</f>
        <v>0.2927</v>
      </c>
      <c r="C7" s="263"/>
      <c r="D7" s="263"/>
      <c r="E7" s="263"/>
      <c r="F7" s="263"/>
      <c r="G7" s="126"/>
      <c r="H7" s="126"/>
    </row>
    <row r="8" spans="1:11" s="281" customFormat="1" ht="15.75" customHeight="1" thickBot="1">
      <c r="A8" s="314" t="s">
        <v>11</v>
      </c>
      <c r="B8" s="315"/>
      <c r="C8" s="315"/>
      <c r="D8" s="315"/>
      <c r="E8" s="315"/>
      <c r="F8" s="315"/>
      <c r="G8" s="315"/>
      <c r="H8" s="315"/>
      <c r="I8" s="315"/>
      <c r="J8" s="316"/>
      <c r="K8" s="312"/>
    </row>
    <row r="9" spans="1:10" s="290" customFormat="1" ht="8.25" customHeight="1">
      <c r="A9" s="332" t="s">
        <v>0</v>
      </c>
      <c r="B9" s="333" t="s">
        <v>8</v>
      </c>
      <c r="C9" s="334"/>
      <c r="D9" s="335"/>
      <c r="E9" s="336" t="s">
        <v>480</v>
      </c>
      <c r="F9" s="336"/>
      <c r="G9" s="336"/>
      <c r="H9" s="336"/>
      <c r="I9" s="336"/>
      <c r="J9" s="337"/>
    </row>
    <row r="10" spans="1:10" s="290" customFormat="1" ht="6" customHeight="1">
      <c r="A10" s="338"/>
      <c r="B10" s="339"/>
      <c r="C10" s="340"/>
      <c r="D10" s="341"/>
      <c r="E10" s="342"/>
      <c r="F10" s="342"/>
      <c r="G10" s="342"/>
      <c r="H10" s="342"/>
      <c r="I10" s="342"/>
      <c r="J10" s="343"/>
    </row>
    <row r="11" spans="1:10" s="290" customFormat="1" ht="18" customHeight="1" thickBot="1">
      <c r="A11" s="344"/>
      <c r="B11" s="345"/>
      <c r="C11" s="346"/>
      <c r="D11" s="347"/>
      <c r="E11" s="348" t="s">
        <v>12</v>
      </c>
      <c r="F11" s="348" t="s">
        <v>20</v>
      </c>
      <c r="G11" s="348" t="s">
        <v>21</v>
      </c>
      <c r="H11" s="348" t="s">
        <v>22</v>
      </c>
      <c r="I11" s="349" t="s">
        <v>5</v>
      </c>
      <c r="J11" s="350"/>
    </row>
    <row r="12" spans="1:11" s="124" customFormat="1" ht="7.5" customHeight="1">
      <c r="A12" s="187">
        <v>1</v>
      </c>
      <c r="B12" s="189" t="str">
        <f>ORÇAMENTO!D11</f>
        <v>ADMINISTRAÇÃO LOCAL</v>
      </c>
      <c r="C12" s="184"/>
      <c r="D12" s="190"/>
      <c r="E12" s="205">
        <f>I12/$I$57</f>
        <v>0.04328108163828003</v>
      </c>
      <c r="F12" s="42">
        <v>0.2</v>
      </c>
      <c r="G12" s="42">
        <v>0.4</v>
      </c>
      <c r="H12" s="42">
        <v>0.4</v>
      </c>
      <c r="I12" s="206">
        <f>ORÇAMENTO!I11</f>
        <v>20863.4</v>
      </c>
      <c r="J12" s="207"/>
      <c r="K12" s="161">
        <f>SUM(F12:H12)</f>
        <v>1</v>
      </c>
    </row>
    <row r="13" spans="1:10" s="124" customFormat="1" ht="3.75" customHeight="1">
      <c r="A13" s="187"/>
      <c r="B13" s="189"/>
      <c r="C13" s="184"/>
      <c r="D13" s="190"/>
      <c r="E13" s="195"/>
      <c r="F13" s="39"/>
      <c r="G13" s="39"/>
      <c r="H13" s="39"/>
      <c r="I13" s="199"/>
      <c r="J13" s="200"/>
    </row>
    <row r="14" spans="1:10" s="124" customFormat="1" ht="7.5" customHeight="1">
      <c r="A14" s="188"/>
      <c r="B14" s="191"/>
      <c r="C14" s="192"/>
      <c r="D14" s="193"/>
      <c r="E14" s="196"/>
      <c r="F14" s="43">
        <f>$I12*F12</f>
        <v>4172.68</v>
      </c>
      <c r="G14" s="43">
        <f>$I12*G12</f>
        <v>8345.36</v>
      </c>
      <c r="H14" s="43">
        <f>$I12*H12</f>
        <v>8345.36</v>
      </c>
      <c r="I14" s="201"/>
      <c r="J14" s="202"/>
    </row>
    <row r="15" spans="1:11" s="124" customFormat="1" ht="7.5" customHeight="1">
      <c r="A15" s="187">
        <f>ORÇAMENTO!A13</f>
        <v>2</v>
      </c>
      <c r="B15" s="189" t="str">
        <f>ORÇAMENTO!D13</f>
        <v>SERVIÇOS PRELIMINARES</v>
      </c>
      <c r="C15" s="184">
        <f>ORÇAMENTO!C13</f>
        <v>0</v>
      </c>
      <c r="D15" s="190" t="str">
        <f>ORÇAMENTO!D13</f>
        <v>SERVIÇOS PRELIMINARES</v>
      </c>
      <c r="E15" s="194">
        <f>I15/$I$57</f>
        <v>0.005294326353760866</v>
      </c>
      <c r="F15" s="42">
        <v>1</v>
      </c>
      <c r="G15" s="127"/>
      <c r="H15" s="128"/>
      <c r="I15" s="197">
        <f>ORÇAMENTO!I13</f>
        <v>2552.1</v>
      </c>
      <c r="J15" s="198">
        <f>ORÇAMENTO!J13</f>
        <v>0</v>
      </c>
      <c r="K15" s="124">
        <f>ORÇAMENTO!K13</f>
        <v>0</v>
      </c>
    </row>
    <row r="16" spans="1:10" s="124" customFormat="1" ht="3.75" customHeight="1">
      <c r="A16" s="187"/>
      <c r="B16" s="189"/>
      <c r="C16" s="184"/>
      <c r="D16" s="190"/>
      <c r="E16" s="195"/>
      <c r="F16" s="39"/>
      <c r="G16" s="129"/>
      <c r="H16" s="130"/>
      <c r="I16" s="199"/>
      <c r="J16" s="200"/>
    </row>
    <row r="17" spans="1:10" s="124" customFormat="1" ht="7.5" customHeight="1">
      <c r="A17" s="188"/>
      <c r="B17" s="191"/>
      <c r="C17" s="192"/>
      <c r="D17" s="193"/>
      <c r="E17" s="196"/>
      <c r="F17" s="43">
        <f>$I15*F15</f>
        <v>2552.1</v>
      </c>
      <c r="G17" s="43"/>
      <c r="H17" s="38"/>
      <c r="I17" s="201"/>
      <c r="J17" s="202"/>
    </row>
    <row r="18" spans="1:10" s="124" customFormat="1" ht="7.5" customHeight="1">
      <c r="A18" s="187">
        <v>3</v>
      </c>
      <c r="B18" s="189" t="str">
        <f>ORÇAMENTO!D15</f>
        <v>DEMOLIÇÕES E RETIRADAS</v>
      </c>
      <c r="C18" s="184" t="e">
        <f>ORÇAMENTO!#REF!</f>
        <v>#REF!</v>
      </c>
      <c r="D18" s="190" t="e">
        <f>ORÇAMENTO!#REF!</f>
        <v>#REF!</v>
      </c>
      <c r="E18" s="194">
        <f>I18/$I$57</f>
        <v>0.03902412875595902</v>
      </c>
      <c r="F18" s="42">
        <v>1</v>
      </c>
      <c r="G18" s="127"/>
      <c r="H18" s="128"/>
      <c r="I18" s="197">
        <f>ORÇAMENTO!I15</f>
        <v>18811.36</v>
      </c>
      <c r="J18" s="198"/>
    </row>
    <row r="19" spans="1:10" s="124" customFormat="1" ht="3.75" customHeight="1">
      <c r="A19" s="187"/>
      <c r="B19" s="189"/>
      <c r="C19" s="184"/>
      <c r="D19" s="190"/>
      <c r="E19" s="195"/>
      <c r="F19" s="39"/>
      <c r="G19" s="129"/>
      <c r="H19" s="130"/>
      <c r="I19" s="199"/>
      <c r="J19" s="200"/>
    </row>
    <row r="20" spans="1:10" s="124" customFormat="1" ht="7.5" customHeight="1">
      <c r="A20" s="188"/>
      <c r="B20" s="191"/>
      <c r="C20" s="192"/>
      <c r="D20" s="193"/>
      <c r="E20" s="196"/>
      <c r="F20" s="43">
        <f>$I18*F18</f>
        <v>18811.36</v>
      </c>
      <c r="G20" s="43"/>
      <c r="H20" s="38"/>
      <c r="I20" s="201"/>
      <c r="J20" s="202"/>
    </row>
    <row r="21" spans="1:10" s="124" customFormat="1" ht="7.5" customHeight="1">
      <c r="A21" s="187">
        <v>4</v>
      </c>
      <c r="B21" s="189" t="str">
        <f>ORÇAMENTO!D27</f>
        <v>MOVIMENTO DE TERRA</v>
      </c>
      <c r="C21" s="184" t="e">
        <f>ORÇAMENTO!#REF!</f>
        <v>#REF!</v>
      </c>
      <c r="D21" s="190" t="e">
        <f>ORÇAMENTO!#REF!</f>
        <v>#REF!</v>
      </c>
      <c r="E21" s="194">
        <f>I21/$I$57</f>
        <v>0.008818068661859376</v>
      </c>
      <c r="F21" s="42">
        <v>1</v>
      </c>
      <c r="G21" s="127"/>
      <c r="H21" s="127"/>
      <c r="I21" s="197">
        <f>ORÇAMENTO!I27</f>
        <v>4250.7</v>
      </c>
      <c r="J21" s="198"/>
    </row>
    <row r="22" spans="1:10" s="124" customFormat="1" ht="3.75" customHeight="1">
      <c r="A22" s="187"/>
      <c r="B22" s="189"/>
      <c r="C22" s="184"/>
      <c r="D22" s="190"/>
      <c r="E22" s="195"/>
      <c r="F22" s="39"/>
      <c r="G22" s="129"/>
      <c r="H22" s="129"/>
      <c r="I22" s="199"/>
      <c r="J22" s="200"/>
    </row>
    <row r="23" spans="1:10" s="124" customFormat="1" ht="7.5" customHeight="1">
      <c r="A23" s="188"/>
      <c r="B23" s="191"/>
      <c r="C23" s="192"/>
      <c r="D23" s="193"/>
      <c r="E23" s="196"/>
      <c r="F23" s="43">
        <f>$I21*F21</f>
        <v>4250.7</v>
      </c>
      <c r="G23" s="37"/>
      <c r="H23" s="37"/>
      <c r="I23" s="201"/>
      <c r="J23" s="202"/>
    </row>
    <row r="24" spans="1:10" s="124" customFormat="1" ht="7.5" customHeight="1">
      <c r="A24" s="187">
        <v>5</v>
      </c>
      <c r="B24" s="189" t="str">
        <f>ORÇAMENTO!D29</f>
        <v>COBERTURA</v>
      </c>
      <c r="C24" s="184" t="str">
        <f>ORÇAMENTO!C16</f>
        <v>99833</v>
      </c>
      <c r="D24" s="190" t="str">
        <f>ORÇAMENTO!D16</f>
        <v>LAVADORA DE ALTA PRESSAO (LAVA-JATO) PARA AGUA FRIA, PRESSAO DE OPERACAO ENTRE 1400 E 1900 LIB/POL2, VAZAO MAXIMA ENTRE 400 E 700 L/H - CHP DIURNO. AF_04/2019</v>
      </c>
      <c r="E24" s="194">
        <f>I24/$I$57</f>
        <v>0.12767122476059412</v>
      </c>
      <c r="F24" s="42">
        <v>0.4</v>
      </c>
      <c r="G24" s="42">
        <v>0.4</v>
      </c>
      <c r="H24" s="42">
        <v>0.2</v>
      </c>
      <c r="I24" s="197">
        <f>ORÇAMENTO!I29</f>
        <v>61543.19</v>
      </c>
      <c r="J24" s="198"/>
    </row>
    <row r="25" spans="1:10" s="124" customFormat="1" ht="3.75" customHeight="1">
      <c r="A25" s="187"/>
      <c r="B25" s="189"/>
      <c r="C25" s="184"/>
      <c r="D25" s="190"/>
      <c r="E25" s="195"/>
      <c r="F25" s="39"/>
      <c r="G25" s="39"/>
      <c r="H25" s="39"/>
      <c r="I25" s="199"/>
      <c r="J25" s="200"/>
    </row>
    <row r="26" spans="1:10" s="124" customFormat="1" ht="7.5" customHeight="1">
      <c r="A26" s="188"/>
      <c r="B26" s="191"/>
      <c r="C26" s="192"/>
      <c r="D26" s="193"/>
      <c r="E26" s="196"/>
      <c r="F26" s="43">
        <f>$I24*F24</f>
        <v>24617.276</v>
      </c>
      <c r="G26" s="43">
        <f>$I24*G24</f>
        <v>24617.276</v>
      </c>
      <c r="H26" s="43">
        <f>$I24*H24</f>
        <v>12308.638</v>
      </c>
      <c r="I26" s="201"/>
      <c r="J26" s="202"/>
    </row>
    <row r="27" spans="1:10" s="124" customFormat="1" ht="7.5" customHeight="1">
      <c r="A27" s="187">
        <v>6</v>
      </c>
      <c r="B27" s="189" t="str">
        <f>ORÇAMENTO!D33</f>
        <v>REVESTIMENTOS</v>
      </c>
      <c r="C27" s="184" t="e">
        <f>ORÇAMENTO!#REF!</f>
        <v>#REF!</v>
      </c>
      <c r="D27" s="190" t="e">
        <f>ORÇAMENTO!#REF!</f>
        <v>#REF!</v>
      </c>
      <c r="E27" s="194">
        <f>I27/$I$57</f>
        <v>0.035039515971487516</v>
      </c>
      <c r="F27" s="179"/>
      <c r="G27" s="42">
        <v>0.6</v>
      </c>
      <c r="H27" s="42">
        <v>0.4</v>
      </c>
      <c r="I27" s="197">
        <f>ORÇAMENTO!I33</f>
        <v>16890.6</v>
      </c>
      <c r="J27" s="198"/>
    </row>
    <row r="28" spans="1:10" s="124" customFormat="1" ht="3.75" customHeight="1">
      <c r="A28" s="187"/>
      <c r="B28" s="189"/>
      <c r="C28" s="184"/>
      <c r="D28" s="190"/>
      <c r="E28" s="195"/>
      <c r="F28" s="181"/>
      <c r="G28" s="39"/>
      <c r="H28" s="39"/>
      <c r="I28" s="199"/>
      <c r="J28" s="200"/>
    </row>
    <row r="29" spans="1:10" s="124" customFormat="1" ht="7.5" customHeight="1">
      <c r="A29" s="188"/>
      <c r="B29" s="191"/>
      <c r="C29" s="192"/>
      <c r="D29" s="193"/>
      <c r="E29" s="196"/>
      <c r="F29" s="182"/>
      <c r="G29" s="43">
        <f>$I27*G27</f>
        <v>10134.359999999999</v>
      </c>
      <c r="H29" s="43">
        <f>$I27*H27</f>
        <v>6756.24</v>
      </c>
      <c r="I29" s="201"/>
      <c r="J29" s="202"/>
    </row>
    <row r="30" spans="1:11" s="124" customFormat="1" ht="7.5" customHeight="1">
      <c r="A30" s="187">
        <v>7</v>
      </c>
      <c r="B30" s="189" t="str">
        <f>ORÇAMENTO!D36</f>
        <v>ESQUADRIAS</v>
      </c>
      <c r="C30" s="184" t="e">
        <f>ORÇAMENTO!#REF!</f>
        <v>#REF!</v>
      </c>
      <c r="D30" s="190" t="e">
        <f>ORÇAMENTO!#REF!</f>
        <v>#REF!</v>
      </c>
      <c r="E30" s="194">
        <f>I30/$I$57</f>
        <v>0.06717290918036521</v>
      </c>
      <c r="F30" s="180"/>
      <c r="G30" s="179"/>
      <c r="H30" s="42">
        <v>1</v>
      </c>
      <c r="I30" s="197">
        <f>ORÇAMENTO!I36</f>
        <v>32380.32</v>
      </c>
      <c r="J30" s="198"/>
      <c r="K30" s="124" t="e">
        <f>ORÇAMENTO!#REF!</f>
        <v>#REF!</v>
      </c>
    </row>
    <row r="31" spans="1:10" s="124" customFormat="1" ht="3.75" customHeight="1">
      <c r="A31" s="187"/>
      <c r="B31" s="189"/>
      <c r="C31" s="184"/>
      <c r="D31" s="190"/>
      <c r="E31" s="195"/>
      <c r="F31" s="180"/>
      <c r="G31" s="181"/>
      <c r="H31" s="39"/>
      <c r="I31" s="199"/>
      <c r="J31" s="200"/>
    </row>
    <row r="32" spans="1:10" s="124" customFormat="1" ht="7.5" customHeight="1">
      <c r="A32" s="188"/>
      <c r="B32" s="191"/>
      <c r="C32" s="192"/>
      <c r="D32" s="193"/>
      <c r="E32" s="196"/>
      <c r="F32" s="183"/>
      <c r="G32" s="182"/>
      <c r="H32" s="43">
        <f>$I30*H30</f>
        <v>32380.32</v>
      </c>
      <c r="I32" s="201"/>
      <c r="J32" s="202"/>
    </row>
    <row r="33" spans="1:10" s="124" customFormat="1" ht="7.5" customHeight="1">
      <c r="A33" s="187">
        <v>8</v>
      </c>
      <c r="B33" s="189" t="str">
        <f>ORÇAMENTO!D41</f>
        <v>RODAPÉ / SOLEIRA / PEITORIL</v>
      </c>
      <c r="C33" s="184"/>
      <c r="D33" s="190"/>
      <c r="E33" s="194">
        <f>I33/$I$57</f>
        <v>0.004841131519999415</v>
      </c>
      <c r="F33" s="180"/>
      <c r="G33" s="180"/>
      <c r="H33" s="42">
        <v>1</v>
      </c>
      <c r="I33" s="197">
        <f>ORÇAMENTO!I41</f>
        <v>2333.64</v>
      </c>
      <c r="J33" s="198"/>
    </row>
    <row r="34" spans="1:10" s="124" customFormat="1" ht="3.75" customHeight="1">
      <c r="A34" s="187"/>
      <c r="B34" s="189"/>
      <c r="C34" s="184"/>
      <c r="D34" s="190"/>
      <c r="E34" s="195"/>
      <c r="F34" s="180"/>
      <c r="G34" s="180"/>
      <c r="H34" s="39"/>
      <c r="I34" s="199"/>
      <c r="J34" s="200"/>
    </row>
    <row r="35" spans="1:10" s="124" customFormat="1" ht="7.5" customHeight="1">
      <c r="A35" s="188"/>
      <c r="B35" s="191"/>
      <c r="C35" s="192"/>
      <c r="D35" s="193"/>
      <c r="E35" s="196"/>
      <c r="F35" s="183"/>
      <c r="G35" s="183"/>
      <c r="H35" s="43">
        <f>$I33*H33</f>
        <v>2333.64</v>
      </c>
      <c r="I35" s="201"/>
      <c r="J35" s="202"/>
    </row>
    <row r="36" spans="1:10" s="124" customFormat="1" ht="7.5" customHeight="1">
      <c r="A36" s="187">
        <v>9</v>
      </c>
      <c r="B36" s="189" t="str">
        <f>ORÇAMENTO!D44</f>
        <v>PISOS</v>
      </c>
      <c r="C36" s="184"/>
      <c r="D36" s="190"/>
      <c r="E36" s="194">
        <f>I36/$I$57</f>
        <v>0.1367079040220222</v>
      </c>
      <c r="F36" s="180"/>
      <c r="G36" s="42">
        <v>0.6</v>
      </c>
      <c r="H36" s="42">
        <v>0.4</v>
      </c>
      <c r="I36" s="197">
        <f>ORÇAMENTO!I44</f>
        <v>65899.27</v>
      </c>
      <c r="J36" s="198"/>
    </row>
    <row r="37" spans="1:10" s="124" customFormat="1" ht="3.75" customHeight="1">
      <c r="A37" s="187"/>
      <c r="B37" s="189"/>
      <c r="C37" s="184"/>
      <c r="D37" s="190"/>
      <c r="E37" s="195"/>
      <c r="F37" s="180"/>
      <c r="G37" s="39"/>
      <c r="H37" s="39"/>
      <c r="I37" s="199"/>
      <c r="J37" s="200"/>
    </row>
    <row r="38" spans="1:10" s="124" customFormat="1" ht="7.5" customHeight="1">
      <c r="A38" s="188"/>
      <c r="B38" s="191"/>
      <c r="C38" s="192"/>
      <c r="D38" s="193"/>
      <c r="E38" s="196"/>
      <c r="F38" s="183"/>
      <c r="G38" s="43">
        <f>$I36*G36</f>
        <v>39539.562</v>
      </c>
      <c r="H38" s="43">
        <f>$I36*H36</f>
        <v>26359.708000000002</v>
      </c>
      <c r="I38" s="201"/>
      <c r="J38" s="202"/>
    </row>
    <row r="39" spans="1:10" s="124" customFormat="1" ht="7.5" customHeight="1">
      <c r="A39" s="187">
        <v>10</v>
      </c>
      <c r="B39" s="189" t="str">
        <f>ORÇAMENTO!D49</f>
        <v>PINTURAS</v>
      </c>
      <c r="C39" s="184"/>
      <c r="D39" s="190"/>
      <c r="E39" s="194">
        <f>I39/$I$57</f>
        <v>0.07730324304405778</v>
      </c>
      <c r="F39" s="180"/>
      <c r="G39" s="180"/>
      <c r="H39" s="42">
        <v>1</v>
      </c>
      <c r="I39" s="197">
        <f>ORÇAMENTO!I49</f>
        <v>37263.59</v>
      </c>
      <c r="J39" s="198"/>
    </row>
    <row r="40" spans="1:10" s="124" customFormat="1" ht="3.75" customHeight="1">
      <c r="A40" s="187"/>
      <c r="B40" s="189"/>
      <c r="C40" s="184"/>
      <c r="D40" s="190"/>
      <c r="E40" s="195"/>
      <c r="F40" s="180"/>
      <c r="G40" s="180"/>
      <c r="H40" s="39"/>
      <c r="I40" s="199"/>
      <c r="J40" s="200"/>
    </row>
    <row r="41" spans="1:10" s="124" customFormat="1" ht="7.5" customHeight="1">
      <c r="A41" s="188"/>
      <c r="B41" s="191"/>
      <c r="C41" s="192"/>
      <c r="D41" s="193"/>
      <c r="E41" s="196"/>
      <c r="F41" s="183"/>
      <c r="G41" s="183"/>
      <c r="H41" s="43">
        <f>$I39*H39</f>
        <v>37263.59</v>
      </c>
      <c r="I41" s="201"/>
      <c r="J41" s="202"/>
    </row>
    <row r="42" spans="1:10" s="124" customFormat="1" ht="7.5" customHeight="1">
      <c r="A42" s="187">
        <v>11</v>
      </c>
      <c r="B42" s="189" t="str">
        <f>ORÇAMENTO!D59</f>
        <v>INSTALAÇÕES ELÉTRICAS</v>
      </c>
      <c r="C42" s="184"/>
      <c r="D42" s="190"/>
      <c r="E42" s="194">
        <f>I42/$I$57</f>
        <v>0.16710091787616296</v>
      </c>
      <c r="F42" s="180"/>
      <c r="G42" s="42">
        <v>0.6</v>
      </c>
      <c r="H42" s="42">
        <v>0.4</v>
      </c>
      <c r="I42" s="197">
        <f>ORÇAMENTO!I59</f>
        <v>80550.05</v>
      </c>
      <c r="J42" s="198"/>
    </row>
    <row r="43" spans="1:10" s="124" customFormat="1" ht="3.75" customHeight="1">
      <c r="A43" s="187"/>
      <c r="B43" s="189"/>
      <c r="C43" s="184"/>
      <c r="D43" s="190"/>
      <c r="E43" s="195"/>
      <c r="F43" s="180"/>
      <c r="G43" s="39"/>
      <c r="H43" s="39"/>
      <c r="I43" s="199"/>
      <c r="J43" s="200"/>
    </row>
    <row r="44" spans="1:10" s="124" customFormat="1" ht="7.5" customHeight="1">
      <c r="A44" s="188"/>
      <c r="B44" s="191"/>
      <c r="C44" s="192"/>
      <c r="D44" s="193"/>
      <c r="E44" s="196"/>
      <c r="F44" s="183"/>
      <c r="G44" s="43">
        <f>$I42*G42</f>
        <v>48330.03</v>
      </c>
      <c r="H44" s="43">
        <f>$I42*H42</f>
        <v>32220.020000000004</v>
      </c>
      <c r="I44" s="201"/>
      <c r="J44" s="202"/>
    </row>
    <row r="45" spans="1:10" s="124" customFormat="1" ht="7.5" customHeight="1">
      <c r="A45" s="187">
        <v>12</v>
      </c>
      <c r="B45" s="189" t="str">
        <f>ORÇAMENTO!D70</f>
        <v>INSTALAÇÕES HIDROSSANITÁRIAS</v>
      </c>
      <c r="C45" s="184"/>
      <c r="D45" s="190"/>
      <c r="E45" s="194">
        <f>I45/$I$57</f>
        <v>0.029764357979275468</v>
      </c>
      <c r="F45" s="180"/>
      <c r="G45" s="42">
        <v>0.6</v>
      </c>
      <c r="H45" s="42">
        <v>0.4</v>
      </c>
      <c r="I45" s="197">
        <f>ORÇAMENTO!I70</f>
        <v>14347.739999999998</v>
      </c>
      <c r="J45" s="198"/>
    </row>
    <row r="46" spans="1:10" s="124" customFormat="1" ht="3.75" customHeight="1">
      <c r="A46" s="187"/>
      <c r="B46" s="189"/>
      <c r="C46" s="184"/>
      <c r="D46" s="190"/>
      <c r="E46" s="195"/>
      <c r="F46" s="180"/>
      <c r="G46" s="39"/>
      <c r="H46" s="39"/>
      <c r="I46" s="199"/>
      <c r="J46" s="200"/>
    </row>
    <row r="47" spans="1:10" s="124" customFormat="1" ht="7.5" customHeight="1">
      <c r="A47" s="188"/>
      <c r="B47" s="191"/>
      <c r="C47" s="192"/>
      <c r="D47" s="193"/>
      <c r="E47" s="196"/>
      <c r="F47" s="183"/>
      <c r="G47" s="43">
        <f>$I45*G45</f>
        <v>8608.643999999998</v>
      </c>
      <c r="H47" s="43">
        <f>$I45*H45</f>
        <v>5739.096</v>
      </c>
      <c r="I47" s="201"/>
      <c r="J47" s="202"/>
    </row>
    <row r="48" spans="1:10" s="124" customFormat="1" ht="7.5" customHeight="1">
      <c r="A48" s="187">
        <v>13</v>
      </c>
      <c r="B48" s="189" t="str">
        <f>ORÇAMENTO!D80</f>
        <v>URBANIZAÇÃO / PAISAGISMO</v>
      </c>
      <c r="C48" s="184"/>
      <c r="D48" s="190"/>
      <c r="E48" s="194">
        <f>I48/$I$57</f>
        <v>0.09922027295705355</v>
      </c>
      <c r="F48" s="180"/>
      <c r="G48" s="42">
        <v>0.6</v>
      </c>
      <c r="H48" s="42">
        <v>0.4</v>
      </c>
      <c r="I48" s="197">
        <f>ORÇAMENTO!I80</f>
        <v>47828.57</v>
      </c>
      <c r="J48" s="198"/>
    </row>
    <row r="49" spans="1:10" s="124" customFormat="1" ht="3.75" customHeight="1">
      <c r="A49" s="187"/>
      <c r="B49" s="189"/>
      <c r="C49" s="184"/>
      <c r="D49" s="190"/>
      <c r="E49" s="195"/>
      <c r="F49" s="180"/>
      <c r="G49" s="39"/>
      <c r="H49" s="39"/>
      <c r="I49" s="199"/>
      <c r="J49" s="200"/>
    </row>
    <row r="50" spans="1:10" s="124" customFormat="1" ht="7.5" customHeight="1">
      <c r="A50" s="188"/>
      <c r="B50" s="191"/>
      <c r="C50" s="192"/>
      <c r="D50" s="193"/>
      <c r="E50" s="196"/>
      <c r="F50" s="183"/>
      <c r="G50" s="43">
        <f>$I48*G48</f>
        <v>28697.142</v>
      </c>
      <c r="H50" s="43">
        <f>$I48*H48</f>
        <v>19131.428</v>
      </c>
      <c r="I50" s="201"/>
      <c r="J50" s="202"/>
    </row>
    <row r="51" spans="1:10" s="124" customFormat="1" ht="7.5" customHeight="1">
      <c r="A51" s="187">
        <v>14</v>
      </c>
      <c r="B51" s="189" t="str">
        <f>ORÇAMENTO!D87</f>
        <v>QUADRA DE AREIA</v>
      </c>
      <c r="C51" s="184"/>
      <c r="D51" s="190"/>
      <c r="E51" s="194">
        <f>I51/$I$57</f>
        <v>0.15658120073728488</v>
      </c>
      <c r="F51" s="42">
        <v>0.4</v>
      </c>
      <c r="G51" s="42">
        <v>0.4</v>
      </c>
      <c r="H51" s="42">
        <v>0.2</v>
      </c>
      <c r="I51" s="197">
        <f>ORÇAMENTO!I87</f>
        <v>75479.08</v>
      </c>
      <c r="J51" s="198"/>
    </row>
    <row r="52" spans="1:10" s="124" customFormat="1" ht="3.75" customHeight="1">
      <c r="A52" s="187"/>
      <c r="B52" s="189"/>
      <c r="C52" s="184"/>
      <c r="D52" s="190"/>
      <c r="E52" s="195"/>
      <c r="F52" s="39"/>
      <c r="G52" s="39"/>
      <c r="H52" s="39"/>
      <c r="I52" s="199"/>
      <c r="J52" s="200"/>
    </row>
    <row r="53" spans="1:10" s="124" customFormat="1" ht="7.5" customHeight="1">
      <c r="A53" s="188"/>
      <c r="B53" s="191"/>
      <c r="C53" s="192"/>
      <c r="D53" s="193"/>
      <c r="E53" s="196"/>
      <c r="F53" s="43">
        <f>$I51*F51</f>
        <v>30191.632</v>
      </c>
      <c r="G53" s="43">
        <f>$I51*G51</f>
        <v>30191.632</v>
      </c>
      <c r="H53" s="43">
        <f>$I51*H51</f>
        <v>15095.816</v>
      </c>
      <c r="I53" s="201"/>
      <c r="J53" s="202"/>
    </row>
    <row r="54" spans="1:10" s="124" customFormat="1" ht="7.5" customHeight="1">
      <c r="A54" s="187">
        <v>15</v>
      </c>
      <c r="B54" s="189" t="str">
        <f>ORÇAMENTO!D93</f>
        <v>SERVIÇOS FINAIS</v>
      </c>
      <c r="C54" s="184"/>
      <c r="D54" s="190"/>
      <c r="E54" s="194">
        <f>I54/$I$57</f>
        <v>0.0021797165418375526</v>
      </c>
      <c r="F54" s="127"/>
      <c r="G54" s="127"/>
      <c r="H54" s="42">
        <v>1</v>
      </c>
      <c r="I54" s="197">
        <f>ORÇAMENTO!I93</f>
        <v>1050.72</v>
      </c>
      <c r="J54" s="198"/>
    </row>
    <row r="55" spans="1:10" s="124" customFormat="1" ht="3.75" customHeight="1">
      <c r="A55" s="187"/>
      <c r="B55" s="189"/>
      <c r="C55" s="184"/>
      <c r="D55" s="190"/>
      <c r="E55" s="195"/>
      <c r="F55" s="129"/>
      <c r="G55" s="129"/>
      <c r="H55" s="39"/>
      <c r="I55" s="199"/>
      <c r="J55" s="200"/>
    </row>
    <row r="56" spans="1:10" s="124" customFormat="1" ht="7.5" customHeight="1" thickBot="1">
      <c r="A56" s="188"/>
      <c r="B56" s="191"/>
      <c r="C56" s="192"/>
      <c r="D56" s="193"/>
      <c r="E56" s="196"/>
      <c r="F56" s="37"/>
      <c r="G56" s="37"/>
      <c r="H56" s="43">
        <f>$I54*H54</f>
        <v>1050.72</v>
      </c>
      <c r="I56" s="201"/>
      <c r="J56" s="202"/>
    </row>
    <row r="57" spans="1:14" s="290" customFormat="1" ht="15.75" customHeight="1" thickBot="1">
      <c r="A57" s="317" t="s">
        <v>6</v>
      </c>
      <c r="B57" s="318"/>
      <c r="C57" s="318"/>
      <c r="D57" s="319"/>
      <c r="E57" s="320">
        <f>SUM(E12:E56)</f>
        <v>1</v>
      </c>
      <c r="F57" s="321">
        <f>SUM(F14,F17,F20,F23,F26,F29,F32,F35,F38,F41,F44,F47,F50,F56,F53)</f>
        <v>84595.748</v>
      </c>
      <c r="G57" s="321">
        <f>SUM(G14,G17,G20,G23,G26,G29,G32,G35,G38,G41,G44,G47,G50,G56,G53)</f>
        <v>198464.006</v>
      </c>
      <c r="H57" s="321">
        <f>SUM(H14,H17,H20,H23,H26,H29,H32,H35,H38,H41,H44,H47,H50,H56,H53)</f>
        <v>198984.57599999997</v>
      </c>
      <c r="I57" s="322">
        <f>SUM(I12:J56)</f>
        <v>482044.33</v>
      </c>
      <c r="J57" s="323"/>
      <c r="L57" s="293">
        <f>ORÇAMENTO!H96</f>
        <v>482044.33</v>
      </c>
      <c r="M57" s="293">
        <f>SUM(F57:H57)</f>
        <v>482044.32999999996</v>
      </c>
      <c r="N57" s="313"/>
    </row>
    <row r="58" spans="1:14" s="290" customFormat="1" ht="15.75" customHeight="1" thickBot="1">
      <c r="A58" s="324" t="s">
        <v>293</v>
      </c>
      <c r="B58" s="325"/>
      <c r="C58" s="325"/>
      <c r="D58" s="325"/>
      <c r="E58" s="326"/>
      <c r="F58" s="320">
        <f>F57/$I$57</f>
        <v>0.17549371029838687</v>
      </c>
      <c r="G58" s="320">
        <f>G57/$I$57</f>
        <v>0.4117131841380646</v>
      </c>
      <c r="H58" s="320">
        <f>H57/$I$57</f>
        <v>0.4127931055635484</v>
      </c>
      <c r="I58" s="327">
        <f>SUM(F57:H57)/I57</f>
        <v>0.9999999999999999</v>
      </c>
      <c r="J58" s="328"/>
      <c r="L58" s="293" t="e">
        <f>ORÇAMENTO!#REF!</f>
        <v>#REF!</v>
      </c>
      <c r="M58" s="293">
        <f>SUM(F58:H58)</f>
        <v>0.9999999999999999</v>
      </c>
      <c r="N58" s="313"/>
    </row>
    <row r="59" spans="1:14" s="290" customFormat="1" ht="15.75" customHeight="1" thickBot="1">
      <c r="A59" s="324" t="s">
        <v>294</v>
      </c>
      <c r="B59" s="325"/>
      <c r="C59" s="325"/>
      <c r="D59" s="325"/>
      <c r="E59" s="326"/>
      <c r="F59" s="329">
        <f>SUM(F58)</f>
        <v>0.17549371029838687</v>
      </c>
      <c r="G59" s="329">
        <f>SUM(G58,F59)</f>
        <v>0.5872068944364515</v>
      </c>
      <c r="H59" s="329">
        <f>SUM(H58,G59)</f>
        <v>0.9999999999999999</v>
      </c>
      <c r="I59" s="330"/>
      <c r="J59" s="331"/>
      <c r="L59" s="293" t="e">
        <f>ORÇAMENTO!#REF!</f>
        <v>#REF!</v>
      </c>
      <c r="M59" s="293">
        <f>SUM(F59:H59)</f>
        <v>1.7627006047348384</v>
      </c>
      <c r="N59" s="313"/>
    </row>
    <row r="60" spans="12:16" s="124" customFormat="1" ht="7.5" customHeight="1">
      <c r="L60" s="133"/>
      <c r="M60" s="134"/>
      <c r="N60" s="131"/>
      <c r="O60" s="132"/>
      <c r="P60" s="132"/>
    </row>
    <row r="61" spans="7:16" s="124" customFormat="1" ht="13.5">
      <c r="G61" s="204"/>
      <c r="H61" s="204"/>
      <c r="I61" s="204"/>
      <c r="J61" s="204"/>
      <c r="L61" s="133"/>
      <c r="M61" s="132"/>
      <c r="N61" s="132"/>
      <c r="O61" s="132"/>
      <c r="P61" s="132"/>
    </row>
    <row r="62" spans="1:16" s="124" customFormat="1" ht="16.5" customHeight="1">
      <c r="A62" s="3"/>
      <c r="B62" s="3"/>
      <c r="C62" s="208"/>
      <c r="D62" s="208"/>
      <c r="E62" s="208"/>
      <c r="F62" s="3"/>
      <c r="G62" s="3"/>
      <c r="H62" s="3"/>
      <c r="I62" s="3"/>
      <c r="L62" s="133"/>
      <c r="M62" s="132"/>
      <c r="N62" s="132"/>
      <c r="O62" s="132"/>
      <c r="P62" s="132"/>
    </row>
    <row r="63" spans="1:16" s="124" customFormat="1" ht="14.25" customHeight="1">
      <c r="A63" s="3"/>
      <c r="B63" s="3"/>
      <c r="C63" s="3"/>
      <c r="D63" s="3"/>
      <c r="E63" s="3"/>
      <c r="F63" s="3"/>
      <c r="G63" s="3"/>
      <c r="H63" s="3"/>
      <c r="I63" s="3"/>
      <c r="L63" s="133"/>
      <c r="M63" s="132"/>
      <c r="N63" s="132"/>
      <c r="O63" s="132"/>
      <c r="P63" s="132"/>
    </row>
    <row r="64" spans="1:16" s="124" customFormat="1" ht="14.25" customHeight="1">
      <c r="A64" s="3"/>
      <c r="B64" s="3"/>
      <c r="C64" s="3"/>
      <c r="D64" s="3"/>
      <c r="E64" s="3"/>
      <c r="F64" s="3"/>
      <c r="G64" s="3"/>
      <c r="H64" s="3"/>
      <c r="I64" s="3"/>
      <c r="L64" s="133"/>
      <c r="M64" s="132"/>
      <c r="N64" s="132"/>
      <c r="O64" s="132"/>
      <c r="P64" s="132"/>
    </row>
    <row r="65" spans="1:16" s="124" customFormat="1" ht="14.25" customHeight="1">
      <c r="A65" s="3"/>
      <c r="B65" s="3"/>
      <c r="C65" s="3"/>
      <c r="D65" s="3"/>
      <c r="E65" s="3"/>
      <c r="F65" s="3"/>
      <c r="G65" s="3"/>
      <c r="H65" s="3"/>
      <c r="I65" s="3"/>
      <c r="L65" s="133"/>
      <c r="M65" s="132"/>
      <c r="N65" s="132"/>
      <c r="O65" s="132"/>
      <c r="P65" s="132"/>
    </row>
    <row r="66" spans="1:16" s="124" customFormat="1" ht="14.25" customHeight="1">
      <c r="A66" s="3"/>
      <c r="B66" s="3"/>
      <c r="C66" s="3"/>
      <c r="D66" s="3"/>
      <c r="E66" s="3"/>
      <c r="F66" s="3"/>
      <c r="G66" s="3"/>
      <c r="H66" s="3"/>
      <c r="I66" s="3"/>
      <c r="L66" s="133"/>
      <c r="M66" s="132"/>
      <c r="N66" s="132"/>
      <c r="O66" s="132"/>
      <c r="P66" s="132"/>
    </row>
    <row r="67" spans="1:16" s="124" customFormat="1" ht="14.25" customHeight="1">
      <c r="A67" s="3"/>
      <c r="B67" s="3"/>
      <c r="C67" s="3"/>
      <c r="D67" s="3"/>
      <c r="E67" s="3"/>
      <c r="F67" s="3"/>
      <c r="G67" s="3"/>
      <c r="H67" s="3"/>
      <c r="I67" s="3"/>
      <c r="L67" s="133"/>
      <c r="M67" s="132"/>
      <c r="N67" s="132"/>
      <c r="O67" s="132"/>
      <c r="P67" s="132"/>
    </row>
    <row r="68" spans="1:16" s="124" customFormat="1" ht="14.25" customHeight="1">
      <c r="A68" s="3"/>
      <c r="B68" s="3"/>
      <c r="C68" s="3"/>
      <c r="D68" s="3"/>
      <c r="E68" s="3"/>
      <c r="F68" s="3"/>
      <c r="G68" s="3"/>
      <c r="H68" s="3"/>
      <c r="I68" s="3"/>
      <c r="L68" s="133"/>
      <c r="M68" s="132"/>
      <c r="N68" s="132"/>
      <c r="O68" s="132"/>
      <c r="P68" s="132"/>
    </row>
    <row r="69" spans="1:16" s="124" customFormat="1" ht="14.25" customHeight="1">
      <c r="A69" s="3"/>
      <c r="B69" s="3"/>
      <c r="C69" s="135"/>
      <c r="D69" s="3"/>
      <c r="E69" s="3"/>
      <c r="F69" s="3"/>
      <c r="G69" s="3"/>
      <c r="H69" s="3"/>
      <c r="I69" s="135"/>
      <c r="L69" s="132"/>
      <c r="M69" s="132"/>
      <c r="N69" s="132"/>
      <c r="O69" s="132"/>
      <c r="P69" s="132"/>
    </row>
    <row r="70" spans="1:11" s="124" customFormat="1" ht="13.5">
      <c r="A70" s="3"/>
      <c r="B70" s="3"/>
      <c r="C70" s="3"/>
      <c r="D70" s="3"/>
      <c r="E70" s="3"/>
      <c r="F70" s="3"/>
      <c r="G70" s="3"/>
      <c r="H70" s="3"/>
      <c r="I70" s="3"/>
      <c r="K70" s="132"/>
    </row>
    <row r="71" s="124" customFormat="1" ht="12.75">
      <c r="A71" s="3"/>
    </row>
    <row r="72" s="124" customFormat="1" ht="12.75">
      <c r="A72" s="3"/>
    </row>
    <row r="74" spans="6:9" ht="13.5">
      <c r="F74" s="40"/>
      <c r="G74" s="40"/>
      <c r="H74" s="12"/>
      <c r="I74" s="41"/>
    </row>
    <row r="75" spans="6:9" ht="13.5">
      <c r="F75" s="40"/>
      <c r="G75" s="40"/>
      <c r="H75" s="40"/>
      <c r="I75" s="41"/>
    </row>
    <row r="76" spans="6:8" ht="12.75">
      <c r="F76" s="40"/>
      <c r="G76" s="40"/>
      <c r="H76" s="40"/>
    </row>
    <row r="77" spans="6:9" ht="13.5">
      <c r="F77" s="40"/>
      <c r="G77" s="40"/>
      <c r="H77" s="40"/>
      <c r="I77" s="41"/>
    </row>
    <row r="78" spans="6:9" ht="12.75">
      <c r="F78" s="40"/>
      <c r="G78" s="40"/>
      <c r="H78" s="40"/>
      <c r="I78" s="40"/>
    </row>
  </sheetData>
  <sheetProtection/>
  <mergeCells count="73">
    <mergeCell ref="A2:J2"/>
    <mergeCell ref="A8:J8"/>
    <mergeCell ref="I54:J56"/>
    <mergeCell ref="A45:A47"/>
    <mergeCell ref="B45:D47"/>
    <mergeCell ref="E45:E47"/>
    <mergeCell ref="I45:J47"/>
    <mergeCell ref="A48:A50"/>
    <mergeCell ref="B48:D50"/>
    <mergeCell ref="A39:A41"/>
    <mergeCell ref="B39:D41"/>
    <mergeCell ref="E39:E41"/>
    <mergeCell ref="I39:J41"/>
    <mergeCell ref="A42:A44"/>
    <mergeCell ref="B42:D44"/>
    <mergeCell ref="E42:E44"/>
    <mergeCell ref="B30:D32"/>
    <mergeCell ref="E30:E32"/>
    <mergeCell ref="I30:J32"/>
    <mergeCell ref="E48:E50"/>
    <mergeCell ref="I48:J50"/>
    <mergeCell ref="I36:J38"/>
    <mergeCell ref="I24:J26"/>
    <mergeCell ref="B9:D11"/>
    <mergeCell ref="I21:J23"/>
    <mergeCell ref="I42:J44"/>
    <mergeCell ref="C62:E62"/>
    <mergeCell ref="A15:A17"/>
    <mergeCell ref="B15:D17"/>
    <mergeCell ref="E15:E17"/>
    <mergeCell ref="I15:J17"/>
    <mergeCell ref="A30:A32"/>
    <mergeCell ref="A24:A26"/>
    <mergeCell ref="A21:A23"/>
    <mergeCell ref="B24:D26"/>
    <mergeCell ref="E24:E26"/>
    <mergeCell ref="B21:D23"/>
    <mergeCell ref="E21:E23"/>
    <mergeCell ref="E18:E20"/>
    <mergeCell ref="I18:J20"/>
    <mergeCell ref="I12:J14"/>
    <mergeCell ref="A18:A20"/>
    <mergeCell ref="B18:D20"/>
    <mergeCell ref="B12:D14"/>
    <mergeCell ref="A9:A11"/>
    <mergeCell ref="I11:J11"/>
    <mergeCell ref="G61:J61"/>
    <mergeCell ref="I57:J57"/>
    <mergeCell ref="A57:D57"/>
    <mergeCell ref="A12:A14"/>
    <mergeCell ref="E12:E14"/>
    <mergeCell ref="A27:A29"/>
    <mergeCell ref="E9:J10"/>
    <mergeCell ref="B27:D29"/>
    <mergeCell ref="E27:E29"/>
    <mergeCell ref="I27:J29"/>
    <mergeCell ref="I33:J35"/>
    <mergeCell ref="A36:A38"/>
    <mergeCell ref="B36:D38"/>
    <mergeCell ref="E36:E38"/>
    <mergeCell ref="A33:A35"/>
    <mergeCell ref="B33:D35"/>
    <mergeCell ref="E33:E35"/>
    <mergeCell ref="A51:A53"/>
    <mergeCell ref="B51:D53"/>
    <mergeCell ref="E51:E53"/>
    <mergeCell ref="I51:J53"/>
    <mergeCell ref="I58:J59"/>
    <mergeCell ref="A58:E58"/>
    <mergeCell ref="A59:E59"/>
    <mergeCell ref="A54:A56"/>
    <mergeCell ref="B54:D56"/>
    <mergeCell ref="E54:E56"/>
  </mergeCells>
  <printOptions horizontalCentered="1"/>
  <pageMargins left="0.4724409448818898" right="0.4724409448818898" top="0.5511811023622047" bottom="0.5905511811023623" header="0.35433070866141736" footer="0.5118110236220472"/>
  <pageSetup fitToHeight="1" fitToWidth="1" horizontalDpi="300" verticalDpi="300" orientation="portrait" paperSize="9" scale="83" r:id="rId2"/>
  <headerFooter alignWithMargins="0">
    <oddFooter>&amp;C&amp;"Arial Narrow,Negrito"&amp;9TV VICTOR PRAXEDES, Nº 105, BAIRRO DA QUINTA, CEP 68.786-000.
SANTO ANTONIO DO TAUA – PA
TEMAXCONSTRUTORA@GMAIL.COM / (85) 99820-4301&amp;R&amp;P/&amp;N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W40"/>
  <sheetViews>
    <sheetView view="pageBreakPreview" zoomScaleSheetLayoutView="100" zoomScalePageLayoutView="0" workbookViewId="0" topLeftCell="A16">
      <selection activeCell="K28" sqref="K28"/>
    </sheetView>
  </sheetViews>
  <sheetFormatPr defaultColWidth="9.140625" defaultRowHeight="12.75"/>
  <cols>
    <col min="1" max="1" width="2.421875" style="0" customWidth="1"/>
    <col min="2" max="2" width="9.421875" style="0" customWidth="1"/>
    <col min="3" max="3" width="29.00390625" style="0" customWidth="1"/>
    <col min="4" max="4" width="15.00390625" style="0" customWidth="1"/>
    <col min="9" max="9" width="11.140625" style="0" customWidth="1"/>
    <col min="10" max="10" width="2.421875" style="0" customWidth="1"/>
    <col min="13" max="13" width="9.28125" style="0" bestFit="1" customWidth="1"/>
    <col min="15" max="15" width="18.00390625" style="0" bestFit="1" customWidth="1"/>
    <col min="16" max="16" width="9.28125" style="0" bestFit="1" customWidth="1"/>
  </cols>
  <sheetData>
    <row r="1" spans="1:23" s="260" customFormat="1" ht="60.75" customHeight="1">
      <c r="A1" s="275"/>
      <c r="B1" s="276"/>
      <c r="C1" s="276"/>
      <c r="D1" s="276"/>
      <c r="E1" s="276"/>
      <c r="F1" s="276"/>
      <c r="G1" s="276"/>
      <c r="H1" s="276"/>
      <c r="I1" s="276"/>
      <c r="J1" s="277"/>
      <c r="M1" s="274"/>
      <c r="N1" s="274"/>
      <c r="O1" s="274"/>
      <c r="P1" s="228"/>
      <c r="Q1" s="228"/>
      <c r="R1" s="274"/>
      <c r="S1" s="274"/>
      <c r="T1" s="274"/>
      <c r="U1" s="274"/>
      <c r="V1" s="274"/>
      <c r="W1" s="274"/>
    </row>
    <row r="2" spans="1:23" s="278" customFormat="1" ht="50.25" customHeight="1">
      <c r="A2" s="354" t="str">
        <f>ORÇAMENTO!A2</f>
        <v>CONTRATAÇÃO DE EMPRESA DE ENGENHARIA PARA REFORMA E REVITALIZAÇÃO DA PRAÇA DA FAMILIA - BAIRRO VILA NOVA, VISANDO ATENDER AS NECESSIDADES DA SECRETARIA MUNICIPAL DE OBRAS, TRANSPORTE, ÁGUA E URBANISMO DO MUNICIPIO DE IPIXUNA DO PARÁ, EM CONFORMIDADE COM O PROJETO BÁSICO, PLANILHA ORÇAMENTÁRIA, CRONOGRAMA FISICO FINANCEIRO E MEMORIAL DESCRITIVO</v>
      </c>
      <c r="B2" s="353"/>
      <c r="C2" s="353"/>
      <c r="D2" s="353"/>
      <c r="E2" s="353"/>
      <c r="F2" s="353"/>
      <c r="G2" s="353"/>
      <c r="H2" s="353"/>
      <c r="I2" s="353"/>
      <c r="J2" s="352"/>
      <c r="M2" s="274"/>
      <c r="N2" s="274"/>
      <c r="O2" s="274"/>
      <c r="P2" s="228"/>
      <c r="Q2" s="228"/>
      <c r="R2" s="274"/>
      <c r="S2" s="274"/>
      <c r="T2" s="274"/>
      <c r="U2" s="274"/>
      <c r="V2" s="274"/>
      <c r="W2" s="274"/>
    </row>
    <row r="3" spans="1:23" s="278" customFormat="1" ht="16.5" customHeight="1">
      <c r="A3" s="354" t="str">
        <f>ORÇAMENTO!A3</f>
        <v>PROCESSO ADMINISTRATIVO Nº 0905/2022</v>
      </c>
      <c r="B3" s="353"/>
      <c r="C3" s="353"/>
      <c r="D3" s="353"/>
      <c r="E3" s="353"/>
      <c r="F3" s="353"/>
      <c r="G3" s="353"/>
      <c r="H3" s="353"/>
      <c r="I3" s="353"/>
      <c r="J3" s="352"/>
      <c r="M3" s="274"/>
      <c r="N3" s="274"/>
      <c r="O3" s="274"/>
      <c r="P3" s="228"/>
      <c r="Q3" s="228"/>
      <c r="R3" s="274"/>
      <c r="S3" s="274"/>
      <c r="T3" s="274"/>
      <c r="U3" s="274"/>
      <c r="V3" s="274"/>
      <c r="W3" s="274"/>
    </row>
    <row r="4" spans="1:23" s="278" customFormat="1" ht="16.5" customHeight="1">
      <c r="A4" s="354" t="str">
        <f>ORÇAMENTO!A4</f>
        <v>MODALIDADE: TOMADA DE PREÇOS Nº 0012/2022-TP </v>
      </c>
      <c r="B4" s="353"/>
      <c r="C4" s="353"/>
      <c r="D4" s="353"/>
      <c r="E4" s="353"/>
      <c r="F4" s="353"/>
      <c r="G4" s="353"/>
      <c r="H4" s="353"/>
      <c r="I4" s="353"/>
      <c r="J4" s="352"/>
      <c r="M4" s="274"/>
      <c r="N4" s="274"/>
      <c r="O4" s="274"/>
      <c r="P4" s="228"/>
      <c r="Q4" s="228"/>
      <c r="R4" s="274"/>
      <c r="S4" s="274"/>
      <c r="T4" s="274"/>
      <c r="U4" s="274"/>
      <c r="V4" s="274"/>
      <c r="W4" s="274"/>
    </row>
    <row r="5" spans="1:23" s="278" customFormat="1" ht="16.5" customHeight="1">
      <c r="A5" s="354" t="str">
        <f>ORÇAMENTO!C5</f>
        <v>REFORMA E REVITALIZAÇÃO DA PRAÇA DA FAMÍLIA</v>
      </c>
      <c r="B5" s="353"/>
      <c r="C5" s="353"/>
      <c r="D5" s="353"/>
      <c r="E5" s="353"/>
      <c r="F5" s="353"/>
      <c r="G5" s="353"/>
      <c r="H5" s="353"/>
      <c r="I5" s="353"/>
      <c r="J5" s="352"/>
      <c r="M5" s="274"/>
      <c r="N5" s="274"/>
      <c r="O5" s="274"/>
      <c r="P5" s="228"/>
      <c r="Q5" s="228"/>
      <c r="R5" s="274"/>
      <c r="S5" s="274"/>
      <c r="T5" s="274"/>
      <c r="U5" s="274"/>
      <c r="V5" s="274"/>
      <c r="W5" s="274"/>
    </row>
    <row r="6" spans="1:23" s="278" customFormat="1" ht="16.5" customHeight="1">
      <c r="A6" s="354" t="str">
        <f>ORÇAMENTO!A6</f>
        <v>REFERÊNCIA: SINAPI FEVEREIRO/2022 - NÃO DESONERADO / SEDOP 02/2022 / SICRO OUTUBRO/2021</v>
      </c>
      <c r="B6" s="353"/>
      <c r="C6" s="353"/>
      <c r="D6" s="353"/>
      <c r="E6" s="353"/>
      <c r="F6" s="353"/>
      <c r="G6" s="353"/>
      <c r="H6" s="353"/>
      <c r="I6" s="353"/>
      <c r="J6" s="352"/>
      <c r="M6" s="274"/>
      <c r="N6" s="274"/>
      <c r="O6" s="274"/>
      <c r="P6" s="228"/>
      <c r="Q6" s="228"/>
      <c r="R6" s="274"/>
      <c r="S6" s="274"/>
      <c r="T6" s="274"/>
      <c r="U6" s="274"/>
      <c r="V6" s="274"/>
      <c r="W6" s="274"/>
    </row>
    <row r="7" spans="1:23" ht="18.75">
      <c r="A7" s="279"/>
      <c r="B7" s="229" t="s">
        <v>34</v>
      </c>
      <c r="C7" s="229"/>
      <c r="D7" s="229"/>
      <c r="E7" s="229"/>
      <c r="F7" s="229"/>
      <c r="G7" s="229"/>
      <c r="H7" s="229"/>
      <c r="I7" s="229"/>
      <c r="J7" s="280"/>
      <c r="M7" s="44"/>
      <c r="N7" s="44"/>
      <c r="O7" s="44"/>
      <c r="P7" s="44"/>
      <c r="Q7" s="44"/>
      <c r="R7" s="44"/>
      <c r="S7" s="44"/>
      <c r="T7" s="44"/>
      <c r="U7" s="44"/>
      <c r="V7" s="44"/>
      <c r="W7" s="44"/>
    </row>
    <row r="8" spans="1:23" ht="4.5" customHeight="1" thickBot="1">
      <c r="A8" s="279"/>
      <c r="B8" s="351"/>
      <c r="C8" s="351"/>
      <c r="D8" s="351"/>
      <c r="E8" s="351"/>
      <c r="F8" s="351"/>
      <c r="G8" s="351"/>
      <c r="H8" s="351"/>
      <c r="I8" s="351"/>
      <c r="J8" s="280"/>
      <c r="M8" s="44"/>
      <c r="N8" s="44"/>
      <c r="O8" s="44"/>
      <c r="P8" s="44"/>
      <c r="Q8" s="44"/>
      <c r="R8" s="44"/>
      <c r="S8" s="44"/>
      <c r="T8" s="44"/>
      <c r="U8" s="44"/>
      <c r="V8" s="44"/>
      <c r="W8" s="44"/>
    </row>
    <row r="9" spans="1:23" ht="33" customHeight="1" thickBot="1" thickTop="1">
      <c r="A9" s="45"/>
      <c r="B9" s="47" t="s">
        <v>35</v>
      </c>
      <c r="C9" s="209" t="s">
        <v>36</v>
      </c>
      <c r="D9" s="209"/>
      <c r="E9" s="209"/>
      <c r="F9" s="209"/>
      <c r="G9" s="209"/>
      <c r="H9" s="209"/>
      <c r="I9" s="48" t="s">
        <v>37</v>
      </c>
      <c r="J9" s="46"/>
      <c r="M9" s="44"/>
      <c r="N9" s="49" t="s">
        <v>33</v>
      </c>
      <c r="O9" s="210" t="e">
        <f>#REF!</f>
        <v>#REF!</v>
      </c>
      <c r="P9" s="210"/>
      <c r="Q9" s="210"/>
      <c r="R9" s="210"/>
      <c r="S9" s="210"/>
      <c r="T9" s="210"/>
      <c r="U9" s="210"/>
      <c r="V9" s="210"/>
      <c r="W9" s="211"/>
    </row>
    <row r="10" spans="1:23" ht="4.5" customHeight="1" thickBot="1" thickTop="1">
      <c r="A10" s="45"/>
      <c r="J10" s="46"/>
      <c r="M10" s="44"/>
      <c r="N10" s="44"/>
      <c r="O10" s="44"/>
      <c r="P10" s="44"/>
      <c r="Q10" s="44"/>
      <c r="R10" s="44"/>
      <c r="S10" s="44"/>
      <c r="T10" s="44"/>
      <c r="U10" s="44"/>
      <c r="V10" s="44"/>
      <c r="W10" s="44"/>
    </row>
    <row r="11" spans="1:23" ht="19.5" customHeight="1" thickBot="1">
      <c r="A11" s="45"/>
      <c r="B11" s="50" t="s">
        <v>38</v>
      </c>
      <c r="C11" s="212" t="s">
        <v>39</v>
      </c>
      <c r="D11" s="213"/>
      <c r="E11" s="213"/>
      <c r="F11" s="213"/>
      <c r="G11" s="213"/>
      <c r="H11" s="213"/>
      <c r="I11" s="51">
        <v>0.04</v>
      </c>
      <c r="J11" s="46"/>
      <c r="M11" s="220" t="s">
        <v>40</v>
      </c>
      <c r="N11" s="221"/>
      <c r="O11" s="221"/>
      <c r="P11" s="221"/>
      <c r="Q11" s="221"/>
      <c r="R11" s="221"/>
      <c r="S11" s="221"/>
      <c r="T11" s="221"/>
      <c r="U11" s="222">
        <v>1000000</v>
      </c>
      <c r="V11" s="223"/>
      <c r="W11" s="224"/>
    </row>
    <row r="12" spans="1:23" ht="19.5" customHeight="1">
      <c r="A12" s="45"/>
      <c r="B12" s="52"/>
      <c r="C12" s="53"/>
      <c r="D12" s="54"/>
      <c r="E12" s="54"/>
      <c r="F12" s="54"/>
      <c r="G12" s="54"/>
      <c r="H12" s="55"/>
      <c r="I12" s="56"/>
      <c r="J12" s="46"/>
      <c r="M12" s="225" t="s">
        <v>0</v>
      </c>
      <c r="N12" s="225" t="s">
        <v>30</v>
      </c>
      <c r="O12" s="225" t="s">
        <v>41</v>
      </c>
      <c r="P12" s="225" t="s">
        <v>42</v>
      </c>
      <c r="Q12" s="225" t="s">
        <v>43</v>
      </c>
      <c r="R12" s="214" t="s">
        <v>44</v>
      </c>
      <c r="S12" s="216" t="s">
        <v>45</v>
      </c>
      <c r="T12" s="217"/>
      <c r="U12" s="218"/>
      <c r="V12" s="219" t="s">
        <v>46</v>
      </c>
      <c r="W12" s="241" t="s">
        <v>47</v>
      </c>
    </row>
    <row r="13" spans="1:23" ht="19.5" customHeight="1">
      <c r="A13" s="45"/>
      <c r="B13" s="50" t="s">
        <v>48</v>
      </c>
      <c r="C13" s="212" t="s">
        <v>49</v>
      </c>
      <c r="D13" s="213"/>
      <c r="E13" s="213"/>
      <c r="F13" s="213"/>
      <c r="G13" s="213"/>
      <c r="H13" s="213"/>
      <c r="I13" s="51">
        <v>0.0139</v>
      </c>
      <c r="J13" s="46"/>
      <c r="M13" s="226"/>
      <c r="N13" s="226"/>
      <c r="O13" s="226"/>
      <c r="P13" s="226"/>
      <c r="Q13" s="226"/>
      <c r="R13" s="215"/>
      <c r="S13" s="57" t="s">
        <v>50</v>
      </c>
      <c r="T13" s="58" t="s">
        <v>51</v>
      </c>
      <c r="U13" s="59" t="s">
        <v>52</v>
      </c>
      <c r="V13" s="216"/>
      <c r="W13" s="217"/>
    </row>
    <row r="14" spans="1:23" ht="19.5" customHeight="1">
      <c r="A14" s="45"/>
      <c r="B14" s="60"/>
      <c r="C14" s="61"/>
      <c r="D14" s="62"/>
      <c r="E14" s="62"/>
      <c r="F14" s="62"/>
      <c r="G14" s="62"/>
      <c r="H14" s="63"/>
      <c r="I14" s="64"/>
      <c r="J14" s="46"/>
      <c r="M14" s="65">
        <v>1</v>
      </c>
      <c r="N14" s="66" t="s">
        <v>53</v>
      </c>
      <c r="O14" s="67">
        <f aca="true" t="shared" si="0" ref="O14:O19">$U$11*P14</f>
        <v>37000</v>
      </c>
      <c r="P14" s="68">
        <v>0.037</v>
      </c>
      <c r="Q14" s="69"/>
      <c r="R14" s="70" t="e">
        <f>IF(AND(P14&gt;=S14,P14&lt;=U14),"OK","DIFERE")</f>
        <v>#REF!</v>
      </c>
      <c r="S14" s="71" t="e">
        <f>IF($O$9='[1]% de BDI '!$A$4,'[1]% de BDI '!I6,IF('[1]BDI-SERVIÇOS'!$R$11='[1]% de BDI '!$A$21,'[1]% de BDI '!I23,IF('[1]BDI-SERVIÇOS'!$R$11='[1]% de BDI '!$A$38,'[1]% de BDI '!I40,IF('[1]BDI-SERVIÇOS'!$R$11='[1]% de BDI '!$A$55,'[1]% de BDI '!I57,IF('[1]BDI-SERVIÇOS'!$R$11='[1]% de BDI '!$A$72,'[1]% de BDI '!I74,"")))))</f>
        <v>#REF!</v>
      </c>
      <c r="T14" s="71" t="e">
        <f>IF($O$9='[1]% de BDI '!$A$4,'[1]% de BDI '!J6,IF('[1]BDI-SERVIÇOS'!$R$11='[1]% de BDI '!$A$21,'[1]% de BDI '!J23,IF('[1]BDI-SERVIÇOS'!$R$11='[1]% de BDI '!$A$38,'[1]% de BDI '!J40,IF('[1]BDI-SERVIÇOS'!$R$11='[1]% de BDI '!$A$55,'[1]% de BDI '!J57,IF('[1]BDI-SERVIÇOS'!$R$11='[1]% de BDI '!$A$72,'[1]% de BDI '!J74,"")))))</f>
        <v>#REF!</v>
      </c>
      <c r="U14" s="71" t="e">
        <f>IF($O$9='[1]% de BDI '!$A$4,'[1]% de BDI '!K6,IF('[1]BDI-SERVIÇOS'!$R$11='[1]% de BDI '!$A$21,'[1]% de BDI '!K23,IF('[1]BDI-SERVIÇOS'!$R$11='[1]% de BDI '!$A$38,'[1]% de BDI '!K40,IF('[1]BDI-SERVIÇOS'!$R$11='[1]% de BDI '!$A$55,'[1]% de BDI '!K57,IF('[1]BDI-SERVIÇOS'!$R$11='[1]% de BDI '!$A$72,'[1]% de BDI '!K74,"")))))</f>
        <v>#REF!</v>
      </c>
      <c r="V14" s="65" t="s">
        <v>54</v>
      </c>
      <c r="W14" s="66" t="s">
        <v>39</v>
      </c>
    </row>
    <row r="15" spans="1:23" ht="19.5" customHeight="1">
      <c r="A15" s="45"/>
      <c r="B15" s="50" t="s">
        <v>55</v>
      </c>
      <c r="C15" s="212" t="s">
        <v>56</v>
      </c>
      <c r="D15" s="212"/>
      <c r="E15" s="212"/>
      <c r="F15" s="212"/>
      <c r="G15" s="212"/>
      <c r="H15" s="212"/>
      <c r="I15" s="51">
        <f>SUM(I16:I18)</f>
        <v>0.0207</v>
      </c>
      <c r="J15" s="46"/>
      <c r="M15" s="65">
        <v>2</v>
      </c>
      <c r="N15" s="66" t="s">
        <v>57</v>
      </c>
      <c r="O15" s="67">
        <f t="shared" si="0"/>
        <v>8000</v>
      </c>
      <c r="P15" s="68">
        <v>0.008</v>
      </c>
      <c r="Q15" s="69"/>
      <c r="R15" s="70" t="e">
        <f>IF(AND(P15&gt;=S15,P15&lt;=U15),"OK","DIFERE")</f>
        <v>#REF!</v>
      </c>
      <c r="S15" s="71" t="e">
        <f>IF($O$9='[1]% de BDI '!$A$4,'[1]% de BDI '!I7,IF('[1]BDI-SERVIÇOS'!$R$11='[1]% de BDI '!$A$21,'[1]% de BDI '!I24,IF('[1]BDI-SERVIÇOS'!$R$11='[1]% de BDI '!$A$38,'[1]% de BDI '!I41,IF('[1]BDI-SERVIÇOS'!$R$11='[1]% de BDI '!$A$55,'[1]% de BDI '!I58,IF('[1]BDI-SERVIÇOS'!$R$11='[1]% de BDI '!$A$72,'[1]% de BDI '!I75,"")))))</f>
        <v>#REF!</v>
      </c>
      <c r="T15" s="71" t="e">
        <f>IF($O$9='[1]% de BDI '!$A$4,'[1]% de BDI '!J7,IF('[1]BDI-SERVIÇOS'!$R$11='[1]% de BDI '!$A$21,'[1]% de BDI '!J24,IF('[1]BDI-SERVIÇOS'!$R$11='[1]% de BDI '!$A$38,'[1]% de BDI '!J41,IF('[1]BDI-SERVIÇOS'!$R$11='[1]% de BDI '!$A$55,'[1]% de BDI '!J58,IF('[1]BDI-SERVIÇOS'!$R$11='[1]% de BDI '!$A$72,'[1]% de BDI '!J75,"")))))</f>
        <v>#REF!</v>
      </c>
      <c r="U15" s="71" t="e">
        <f>IF($O$9='[1]% de BDI '!$A$4,'[1]% de BDI '!K7,IF('[1]BDI-SERVIÇOS'!$R$11='[1]% de BDI '!$A$21,'[1]% de BDI '!K24,IF('[1]BDI-SERVIÇOS'!$R$11='[1]% de BDI '!$A$38,'[1]% de BDI '!K41,IF('[1]BDI-SERVIÇOS'!$R$11='[1]% de BDI '!$A$55,'[1]% de BDI '!K58,IF('[1]BDI-SERVIÇOS'!$R$11='[1]% de BDI '!$A$72,'[1]% de BDI '!K75,"")))))</f>
        <v>#REF!</v>
      </c>
      <c r="V15" s="65" t="s">
        <v>58</v>
      </c>
      <c r="W15" s="66" t="s">
        <v>59</v>
      </c>
    </row>
    <row r="16" spans="1:23" ht="19.5" customHeight="1">
      <c r="A16" s="45"/>
      <c r="B16" s="72" t="s">
        <v>3</v>
      </c>
      <c r="C16" s="230" t="s">
        <v>60</v>
      </c>
      <c r="D16" s="231"/>
      <c r="E16" s="231"/>
      <c r="F16" s="231"/>
      <c r="G16" s="231"/>
      <c r="H16" s="231"/>
      <c r="I16" s="73">
        <v>0.004</v>
      </c>
      <c r="J16" s="46"/>
      <c r="M16" s="65">
        <v>3</v>
      </c>
      <c r="N16" s="66" t="s">
        <v>61</v>
      </c>
      <c r="O16" s="67">
        <f t="shared" si="0"/>
        <v>9700</v>
      </c>
      <c r="P16" s="68">
        <v>0.0097</v>
      </c>
      <c r="Q16" s="69"/>
      <c r="R16" s="70" t="e">
        <f>IF(AND(P16&gt;=S16,P16&lt;=U16),"OK","DIFERE")</f>
        <v>#REF!</v>
      </c>
      <c r="S16" s="71" t="e">
        <f>IF($O$9='[1]% de BDI '!$A$4,'[1]% de BDI '!I8,IF('[1]BDI-SERVIÇOS'!$R$11='[1]% de BDI '!$A$21,'[1]% de BDI '!I25,IF('[1]BDI-SERVIÇOS'!$R$11='[1]% de BDI '!$A$38,'[1]% de BDI '!I42,IF('[1]BDI-SERVIÇOS'!$R$11='[1]% de BDI '!$A$55,'[1]% de BDI '!I59,IF('[1]BDI-SERVIÇOS'!$R$11='[1]% de BDI '!$A$72,'[1]% de BDI '!I76,"")))))</f>
        <v>#REF!</v>
      </c>
      <c r="T16" s="71" t="e">
        <f>IF($O$9='[1]% de BDI '!$A$4,'[1]% de BDI '!J8,IF('[1]BDI-SERVIÇOS'!$R$11='[1]% de BDI '!$A$21,'[1]% de BDI '!J25,IF('[1]BDI-SERVIÇOS'!$R$11='[1]% de BDI '!$A$38,'[1]% de BDI '!J42,IF('[1]BDI-SERVIÇOS'!$R$11='[1]% de BDI '!$A$55,'[1]% de BDI '!J59,IF('[1]BDI-SERVIÇOS'!$R$11='[1]% de BDI '!$A$72,'[1]% de BDI '!J76,"")))))</f>
        <v>#REF!</v>
      </c>
      <c r="U16" s="71" t="e">
        <f>IF($O$9='[1]% de BDI '!$A$4,'[1]% de BDI '!K8,IF('[1]BDI-SERVIÇOS'!$R$11='[1]% de BDI '!$A$21,'[1]% de BDI '!K25,IF('[1]BDI-SERVIÇOS'!$R$11='[1]% de BDI '!$A$38,'[1]% de BDI '!K42,IF('[1]BDI-SERVIÇOS'!$R$11='[1]% de BDI '!$A$55,'[1]% de BDI '!K59,IF('[1]BDI-SERVIÇOS'!$R$11='[1]% de BDI '!$A$72,'[1]% de BDI '!K76,"")))))</f>
        <v>#REF!</v>
      </c>
      <c r="V16" s="65" t="s">
        <v>62</v>
      </c>
      <c r="W16" s="66" t="s">
        <v>63</v>
      </c>
    </row>
    <row r="17" spans="1:23" ht="19.5" customHeight="1">
      <c r="A17" s="45"/>
      <c r="B17" s="72" t="s">
        <v>13</v>
      </c>
      <c r="C17" s="230" t="s">
        <v>64</v>
      </c>
      <c r="D17" s="231"/>
      <c r="E17" s="231"/>
      <c r="F17" s="231"/>
      <c r="G17" s="231"/>
      <c r="H17" s="231"/>
      <c r="I17" s="73">
        <v>0.004</v>
      </c>
      <c r="J17" s="46"/>
      <c r="M17" s="65">
        <v>4</v>
      </c>
      <c r="N17" s="66" t="s">
        <v>65</v>
      </c>
      <c r="O17" s="67">
        <f t="shared" si="0"/>
        <v>5900</v>
      </c>
      <c r="P17" s="68">
        <v>0.0059</v>
      </c>
      <c r="Q17" s="69"/>
      <c r="R17" s="70" t="e">
        <f>IF(AND(P17&gt;=S17,P17&lt;=U17),"OK","DIFERE")</f>
        <v>#REF!</v>
      </c>
      <c r="S17" s="71" t="e">
        <f>IF($O$9='[1]% de BDI '!$A$4,'[1]% de BDI '!I9,IF('[1]BDI-SERVIÇOS'!$R$11='[1]% de BDI '!$A$21,'[1]% de BDI '!I26,IF('[1]BDI-SERVIÇOS'!$R$11='[1]% de BDI '!$A$38,'[1]% de BDI '!I43,IF('[1]BDI-SERVIÇOS'!$R$11='[1]% de BDI '!$A$55,'[1]% de BDI '!I60,IF('[1]BDI-SERVIÇOS'!$R$11='[1]% de BDI '!$A$72,'[1]% de BDI '!I77,"")))))</f>
        <v>#REF!</v>
      </c>
      <c r="T17" s="71" t="e">
        <f>IF($O$9='[1]% de BDI '!$A$4,'[1]% de BDI '!J9,IF('[1]BDI-SERVIÇOS'!$R$11='[1]% de BDI '!$A$21,'[1]% de BDI '!J26,IF('[1]BDI-SERVIÇOS'!$R$11='[1]% de BDI '!$A$38,'[1]% de BDI '!J43,IF('[1]BDI-SERVIÇOS'!$R$11='[1]% de BDI '!$A$55,'[1]% de BDI '!J60,IF('[1]BDI-SERVIÇOS'!$R$11='[1]% de BDI '!$A$72,'[1]% de BDI '!J77,"")))))</f>
        <v>#REF!</v>
      </c>
      <c r="U17" s="71" t="e">
        <f>IF($O$9='[1]% de BDI '!$A$4,'[1]% de BDI '!K9,IF('[1]BDI-SERVIÇOS'!$R$11='[1]% de BDI '!$A$21,'[1]% de BDI '!K26,IF('[1]BDI-SERVIÇOS'!$R$11='[1]% de BDI '!$A$38,'[1]% de BDI '!K43,IF('[1]BDI-SERVIÇOS'!$R$11='[1]% de BDI '!$A$55,'[1]% de BDI '!K60,IF('[1]BDI-SERVIÇOS'!$R$11='[1]% de BDI '!$A$72,'[1]% de BDI '!K77,"")))))</f>
        <v>#REF!</v>
      </c>
      <c r="V17" s="65" t="s">
        <v>66</v>
      </c>
      <c r="W17" s="66" t="s">
        <v>49</v>
      </c>
    </row>
    <row r="18" spans="1:23" ht="19.5" customHeight="1">
      <c r="A18" s="45"/>
      <c r="B18" s="72" t="s">
        <v>14</v>
      </c>
      <c r="C18" s="230" t="s">
        <v>67</v>
      </c>
      <c r="D18" s="231"/>
      <c r="E18" s="231"/>
      <c r="F18" s="231"/>
      <c r="G18" s="231"/>
      <c r="H18" s="231"/>
      <c r="I18" s="73">
        <v>0.0127</v>
      </c>
      <c r="J18" s="46"/>
      <c r="M18" s="65">
        <v>5</v>
      </c>
      <c r="N18" s="66" t="s">
        <v>68</v>
      </c>
      <c r="O18" s="67">
        <f t="shared" si="0"/>
        <v>61600</v>
      </c>
      <c r="P18" s="68">
        <v>0.0616</v>
      </c>
      <c r="Q18" s="69"/>
      <c r="R18" s="70" t="e">
        <f>IF(AND(P18&gt;=S18,P18&lt;=U18),"OK","DIFERE")</f>
        <v>#REF!</v>
      </c>
      <c r="S18" s="71" t="e">
        <f>IF($O$9='[1]% de BDI '!$A$4,'[1]% de BDI '!I10,IF('[1]BDI-SERVIÇOS'!$R$11='[1]% de BDI '!$A$21,'[1]% de BDI '!I27,IF('[1]BDI-SERVIÇOS'!$R$11='[1]% de BDI '!$A$38,'[1]% de BDI '!I44,IF('[1]BDI-SERVIÇOS'!$R$11='[1]% de BDI '!$A$55,'[1]% de BDI '!I61,IF('[1]BDI-SERVIÇOS'!$R$11='[1]% de BDI '!$A$72,'[1]% de BDI '!I78,"")))))</f>
        <v>#REF!</v>
      </c>
      <c r="T18" s="71" t="e">
        <f>IF($O$9='[1]% de BDI '!$A$4,'[1]% de BDI '!J10,IF('[1]BDI-SERVIÇOS'!$R$11='[1]% de BDI '!$A$21,'[1]% de BDI '!J27,IF('[1]BDI-SERVIÇOS'!$R$11='[1]% de BDI '!$A$38,'[1]% de BDI '!J44,IF('[1]BDI-SERVIÇOS'!$R$11='[1]% de BDI '!$A$55,'[1]% de BDI '!J61,IF('[1]BDI-SERVIÇOS'!$R$11='[1]% de BDI '!$A$72,'[1]% de BDI '!J78,"")))))</f>
        <v>#REF!</v>
      </c>
      <c r="U18" s="71" t="e">
        <f>IF($O$9='[1]% de BDI '!$A$4,'[1]% de BDI '!K10,IF('[1]BDI-SERVIÇOS'!$R$11='[1]% de BDI '!$A$21,'[1]% de BDI '!K27,IF('[1]BDI-SERVIÇOS'!$R$11='[1]% de BDI '!$A$38,'[1]% de BDI '!K44,IF('[1]BDI-SERVIÇOS'!$R$11='[1]% de BDI '!$A$55,'[1]% de BDI '!K61,IF('[1]BDI-SERVIÇOS'!$R$11='[1]% de BDI '!$A$72,'[1]% de BDI '!K78,"")))))</f>
        <v>#REF!</v>
      </c>
      <c r="V18" s="65" t="s">
        <v>69</v>
      </c>
      <c r="W18" s="66" t="s">
        <v>70</v>
      </c>
    </row>
    <row r="19" spans="1:23" ht="19.5" customHeight="1">
      <c r="A19" s="45"/>
      <c r="B19" s="60"/>
      <c r="C19" s="61"/>
      <c r="D19" s="62"/>
      <c r="E19" s="62"/>
      <c r="F19" s="62"/>
      <c r="G19" s="62"/>
      <c r="H19" s="63"/>
      <c r="I19" s="64"/>
      <c r="J19" s="46"/>
      <c r="M19" s="65">
        <v>6</v>
      </c>
      <c r="N19" s="66" t="s">
        <v>71</v>
      </c>
      <c r="O19" s="67">
        <f t="shared" si="0"/>
        <v>61500</v>
      </c>
      <c r="P19" s="74">
        <f>SUM(P20:P23)</f>
        <v>0.0615</v>
      </c>
      <c r="Q19" s="69"/>
      <c r="R19" s="75"/>
      <c r="S19" s="76"/>
      <c r="T19" s="76"/>
      <c r="U19" s="77"/>
      <c r="V19" s="65" t="s">
        <v>72</v>
      </c>
      <c r="W19" s="66" t="s">
        <v>73</v>
      </c>
    </row>
    <row r="20" spans="1:23" ht="19.5" customHeight="1">
      <c r="A20" s="45"/>
      <c r="B20" s="50" t="s">
        <v>74</v>
      </c>
      <c r="C20" s="212" t="s">
        <v>70</v>
      </c>
      <c r="D20" s="213"/>
      <c r="E20" s="213"/>
      <c r="F20" s="213"/>
      <c r="G20" s="213"/>
      <c r="H20" s="213"/>
      <c r="I20" s="51">
        <v>0.074</v>
      </c>
      <c r="J20" s="46"/>
      <c r="M20" s="78" t="s">
        <v>9</v>
      </c>
      <c r="N20" s="239" t="s">
        <v>75</v>
      </c>
      <c r="O20" s="240"/>
      <c r="P20" s="79">
        <v>0.0065</v>
      </c>
      <c r="Q20" s="69"/>
      <c r="R20" s="80"/>
      <c r="S20" s="81"/>
      <c r="T20" s="81"/>
      <c r="U20" s="82"/>
      <c r="V20" s="83"/>
      <c r="W20" s="83"/>
    </row>
    <row r="21" spans="1:23" ht="19.5" customHeight="1">
      <c r="A21" s="45"/>
      <c r="B21" s="60"/>
      <c r="C21" s="61"/>
      <c r="D21" s="62"/>
      <c r="E21" s="62"/>
      <c r="F21" s="62"/>
      <c r="G21" s="62"/>
      <c r="H21" s="63"/>
      <c r="I21" s="64"/>
      <c r="J21" s="46"/>
      <c r="M21" s="78" t="s">
        <v>18</v>
      </c>
      <c r="N21" s="239" t="s">
        <v>76</v>
      </c>
      <c r="O21" s="240"/>
      <c r="P21" s="79">
        <v>0.03</v>
      </c>
      <c r="Q21" s="69"/>
      <c r="R21" s="80"/>
      <c r="S21" s="81"/>
      <c r="T21" s="81"/>
      <c r="U21" s="82"/>
      <c r="V21" s="83"/>
      <c r="W21" s="83"/>
    </row>
    <row r="22" spans="1:23" ht="19.5" customHeight="1">
      <c r="A22" s="45"/>
      <c r="B22" s="50" t="s">
        <v>77</v>
      </c>
      <c r="C22" s="212" t="s">
        <v>78</v>
      </c>
      <c r="D22" s="213"/>
      <c r="E22" s="213"/>
      <c r="F22" s="213"/>
      <c r="G22" s="213"/>
      <c r="H22" s="213"/>
      <c r="I22" s="51">
        <f>SUM(I23:I26)</f>
        <v>0.1065</v>
      </c>
      <c r="J22" s="46"/>
      <c r="M22" s="78" t="s">
        <v>15</v>
      </c>
      <c r="N22" s="239" t="s">
        <v>79</v>
      </c>
      <c r="O22" s="240"/>
      <c r="P22" s="79">
        <v>0.025</v>
      </c>
      <c r="Q22" s="69"/>
      <c r="R22" s="84"/>
      <c r="S22" s="85"/>
      <c r="T22" s="85"/>
      <c r="U22" s="86"/>
      <c r="V22" s="83"/>
      <c r="W22" s="83"/>
    </row>
    <row r="23" spans="1:23" ht="19.5" customHeight="1">
      <c r="A23" s="45"/>
      <c r="B23" s="72" t="s">
        <v>4</v>
      </c>
      <c r="C23" s="230" t="s">
        <v>80</v>
      </c>
      <c r="D23" s="230"/>
      <c r="E23" s="230"/>
      <c r="F23" s="231"/>
      <c r="G23" s="231"/>
      <c r="H23" s="231"/>
      <c r="I23" s="73">
        <f>P22</f>
        <v>0.025</v>
      </c>
      <c r="J23" s="46"/>
      <c r="M23" s="87" t="s">
        <v>19</v>
      </c>
      <c r="N23" s="237" t="s">
        <v>81</v>
      </c>
      <c r="O23" s="238"/>
      <c r="P23" s="88">
        <f>IF(E2='[1]Planilha3'!$C$4,4.5%,0)</f>
        <v>0</v>
      </c>
      <c r="Q23" s="69"/>
      <c r="R23" s="242" t="s">
        <v>82</v>
      </c>
      <c r="S23" s="242"/>
      <c r="T23" s="242"/>
      <c r="U23" s="242"/>
      <c r="V23" s="89"/>
      <c r="W23" s="89"/>
    </row>
    <row r="24" spans="1:23" ht="19.5" customHeight="1">
      <c r="A24" s="45"/>
      <c r="B24" s="72" t="s">
        <v>16</v>
      </c>
      <c r="C24" s="230" t="s">
        <v>75</v>
      </c>
      <c r="D24" s="231"/>
      <c r="E24" s="231"/>
      <c r="F24" s="231"/>
      <c r="G24" s="231"/>
      <c r="H24" s="231"/>
      <c r="I24" s="73">
        <f>P20</f>
        <v>0.0065</v>
      </c>
      <c r="J24" s="46"/>
      <c r="M24" s="232" t="s">
        <v>83</v>
      </c>
      <c r="N24" s="233"/>
      <c r="O24" s="90"/>
      <c r="P24" s="91"/>
      <c r="Q24" s="92">
        <f>P26*U11</f>
        <v>200080.52228875872</v>
      </c>
      <c r="R24" s="243" t="s">
        <v>84</v>
      </c>
      <c r="S24" s="243"/>
      <c r="T24" s="243"/>
      <c r="U24" s="243"/>
      <c r="V24" s="65" t="s">
        <v>72</v>
      </c>
      <c r="W24" s="66" t="s">
        <v>73</v>
      </c>
    </row>
    <row r="25" spans="1:23" ht="19.5" customHeight="1">
      <c r="A25" s="45"/>
      <c r="B25" s="72" t="s">
        <v>17</v>
      </c>
      <c r="C25" s="230" t="s">
        <v>76</v>
      </c>
      <c r="D25" s="231"/>
      <c r="E25" s="231"/>
      <c r="F25" s="231"/>
      <c r="G25" s="231"/>
      <c r="H25" s="231"/>
      <c r="I25" s="73">
        <f>P21</f>
        <v>0.03</v>
      </c>
      <c r="J25" s="46"/>
      <c r="M25" s="232" t="s">
        <v>85</v>
      </c>
      <c r="N25" s="233"/>
      <c r="O25" s="93"/>
      <c r="P25" s="94"/>
      <c r="Q25" s="95">
        <f>Q24+U11</f>
        <v>1200080.5222887588</v>
      </c>
      <c r="R25" s="96" t="s">
        <v>86</v>
      </c>
      <c r="S25" s="97" t="e">
        <f>IF($O$9='[1]% de BDI '!$A$4,'[1]% de BDI '!I17,IF('[1]BDI-SERVIÇOS'!$R$11='[1]% de BDI '!$A$21,'[1]% de BDI '!I34,IF('[1]BDI-SERVIÇOS'!$R$11='[1]% de BDI '!$A$38,'[1]% de BDI '!I51,IF('[1]BDI-SERVIÇOS'!$R$11='[1]% de BDI '!$A$55,'[1]% de BDI '!I68,IF('[1]BDI-SERVIÇOS'!$R$11='[1]% de BDI '!$A$72,'[1]% de BDI '!I85,"")))))</f>
        <v>#REF!</v>
      </c>
      <c r="T25" s="97" t="e">
        <f>IF($O$9='[1]% de BDI '!$A$4,'[1]% de BDI '!J17,IF('[1]BDI-SERVIÇOS'!$R$11='[1]% de BDI '!$A$21,'[1]% de BDI '!J34,IF('[1]BDI-SERVIÇOS'!$R$11='[1]% de BDI '!$A$38,'[1]% de BDI '!J51,IF('[1]BDI-SERVIÇOS'!$R$11='[1]% de BDI '!$A$55,'[1]% de BDI '!J68,IF('[1]BDI-SERVIÇOS'!$R$11='[1]% de BDI '!$A$72,'[1]% de BDI '!J85,"")))))</f>
        <v>#REF!</v>
      </c>
      <c r="U25" s="97" t="e">
        <f>IF($O$9='[1]% de BDI '!$A$4,'[1]% de BDI '!K17,IF('[1]BDI-SERVIÇOS'!$R$11='[1]% de BDI '!$A$21,'[1]% de BDI '!K34,IF('[1]BDI-SERVIÇOS'!$R$11='[1]% de BDI '!$A$38,'[1]% de BDI '!K51,IF('[1]BDI-SERVIÇOS'!$R$11='[1]% de BDI '!$A$55,'[1]% de BDI '!K68,IF('[1]BDI-SERVIÇOS'!$R$11='[1]% de BDI '!$A$72,'[1]% de BDI '!K85,"")))))</f>
        <v>#REF!</v>
      </c>
      <c r="V25" s="98"/>
      <c r="W25" s="98"/>
    </row>
    <row r="26" spans="1:23" ht="19.5" customHeight="1">
      <c r="A26" s="45"/>
      <c r="B26" s="72" t="s">
        <v>31</v>
      </c>
      <c r="C26" s="230" t="s">
        <v>87</v>
      </c>
      <c r="D26" s="231"/>
      <c r="E26" s="231"/>
      <c r="F26" s="231"/>
      <c r="G26" s="231"/>
      <c r="H26" s="231"/>
      <c r="I26" s="73">
        <v>0.045</v>
      </c>
      <c r="J26" s="46"/>
      <c r="M26" s="234" t="s">
        <v>88</v>
      </c>
      <c r="N26" s="235"/>
      <c r="O26" s="236"/>
      <c r="P26" s="99">
        <f>(((1+P14+P16+P15)*(1+P17)*(1+P18)/(1-P19))-1)</f>
        <v>0.20008052228875872</v>
      </c>
      <c r="Q26" s="100" t="e">
        <f>IF(P23=0,IF(AND(P26&gt;=S25,P26&lt;=U25),"OK","AJUSTAR"),IF(AND(P26&gt;=S26,P26&lt;=U26),"OK","AJUSTAR"))</f>
        <v>#REF!</v>
      </c>
      <c r="R26" s="101" t="s">
        <v>89</v>
      </c>
      <c r="S26" s="102" t="e">
        <f>TRUNC((1+S25)/(0.955)-1,4)</f>
        <v>#REF!</v>
      </c>
      <c r="T26" s="102" t="e">
        <f>TRUNC((1+T25)/(0.955)-1,4)</f>
        <v>#REF!</v>
      </c>
      <c r="U26" s="102" t="e">
        <f>TRUNC((1+U25)/(0.955)-1,4)</f>
        <v>#REF!</v>
      </c>
      <c r="V26" s="98"/>
      <c r="W26" s="98"/>
    </row>
    <row r="27" spans="1:23" ht="11.25" customHeight="1" thickBot="1">
      <c r="A27" s="45"/>
      <c r="B27" s="60"/>
      <c r="C27" s="61"/>
      <c r="D27" s="62"/>
      <c r="E27" s="62"/>
      <c r="F27" s="62"/>
      <c r="G27" s="62"/>
      <c r="H27" s="63"/>
      <c r="I27" s="64"/>
      <c r="J27" s="46"/>
      <c r="M27" s="44"/>
      <c r="N27" s="44"/>
      <c r="O27" s="44"/>
      <c r="P27" s="44"/>
      <c r="Q27" s="44"/>
      <c r="R27" s="44"/>
      <c r="S27" s="44"/>
      <c r="T27" s="44"/>
      <c r="U27" s="44"/>
      <c r="V27" s="44"/>
      <c r="W27" s="44"/>
    </row>
    <row r="28" spans="1:23" ht="16.5" customHeight="1" thickBot="1" thickTop="1">
      <c r="A28" s="45"/>
      <c r="B28" s="47" t="s">
        <v>90</v>
      </c>
      <c r="C28" s="209" t="s">
        <v>91</v>
      </c>
      <c r="D28" s="209"/>
      <c r="E28" s="209"/>
      <c r="F28" s="209"/>
      <c r="G28" s="209"/>
      <c r="H28" s="209"/>
      <c r="I28" s="103">
        <f>ROUND(((1+(I11+I15))*(1+I13)*(1+I20)/(1-I22))-1,4)</f>
        <v>0.2927</v>
      </c>
      <c r="J28" s="46"/>
      <c r="M28" s="44"/>
      <c r="N28" s="44"/>
      <c r="O28" s="44"/>
      <c r="P28" s="44"/>
      <c r="Q28" s="44"/>
      <c r="R28" s="44"/>
      <c r="S28" s="44"/>
      <c r="T28" s="44"/>
      <c r="U28" s="44"/>
      <c r="V28" s="44"/>
      <c r="W28" s="44"/>
    </row>
    <row r="29" spans="1:23" ht="11.25" customHeight="1" thickTop="1">
      <c r="A29" s="45"/>
      <c r="B29" s="60"/>
      <c r="C29" s="61"/>
      <c r="D29" s="62"/>
      <c r="E29" s="62"/>
      <c r="F29" s="62"/>
      <c r="G29" s="62"/>
      <c r="H29" s="63"/>
      <c r="I29" s="64"/>
      <c r="J29" s="46"/>
      <c r="M29" s="44"/>
      <c r="N29" s="44"/>
      <c r="O29" s="44"/>
      <c r="P29" s="44"/>
      <c r="Q29" s="44"/>
      <c r="R29" s="44"/>
      <c r="S29" s="44"/>
      <c r="T29" s="44"/>
      <c r="U29" s="44"/>
      <c r="V29" s="44"/>
      <c r="W29" s="44"/>
    </row>
    <row r="30" spans="1:23" ht="15">
      <c r="A30" s="45"/>
      <c r="B30" s="44" t="s">
        <v>92</v>
      </c>
      <c r="C30" s="44"/>
      <c r="D30" s="44"/>
      <c r="E30" s="44"/>
      <c r="F30" s="104"/>
      <c r="G30" s="44"/>
      <c r="H30" s="105"/>
      <c r="I30" s="106"/>
      <c r="J30" s="46"/>
      <c r="M30" s="44"/>
      <c r="N30" s="44"/>
      <c r="O30" s="44"/>
      <c r="P30" s="44"/>
      <c r="Q30" s="44"/>
      <c r="R30" s="44"/>
      <c r="S30" s="44"/>
      <c r="T30" s="44"/>
      <c r="U30" s="44"/>
      <c r="V30" s="44"/>
      <c r="W30" s="44"/>
    </row>
    <row r="31" spans="1:23" ht="4.5" customHeight="1">
      <c r="A31" s="45"/>
      <c r="B31" s="107"/>
      <c r="C31" s="107"/>
      <c r="D31" s="107"/>
      <c r="E31" s="107"/>
      <c r="F31" s="108"/>
      <c r="G31" s="107"/>
      <c r="H31" s="109"/>
      <c r="I31" s="110"/>
      <c r="J31" s="46"/>
      <c r="M31" s="44"/>
      <c r="N31" s="44"/>
      <c r="O31" s="44"/>
      <c r="P31" s="44"/>
      <c r="Q31" s="44"/>
      <c r="R31" s="44"/>
      <c r="S31" s="44"/>
      <c r="T31" s="44"/>
      <c r="U31" s="44"/>
      <c r="V31" s="44"/>
      <c r="W31" s="44"/>
    </row>
    <row r="32" spans="1:23" ht="18" customHeight="1">
      <c r="A32" s="45"/>
      <c r="B32" s="244" t="s">
        <v>93</v>
      </c>
      <c r="C32" s="244"/>
      <c r="D32" s="244"/>
      <c r="E32" s="244"/>
      <c r="F32" s="244"/>
      <c r="G32" s="244"/>
      <c r="H32" s="244"/>
      <c r="I32" s="244"/>
      <c r="J32" s="46"/>
      <c r="M32" s="44"/>
      <c r="N32" s="44"/>
      <c r="O32" s="44"/>
      <c r="P32" s="44"/>
      <c r="Q32" s="44"/>
      <c r="R32" s="44"/>
      <c r="S32" s="44"/>
      <c r="T32" s="44"/>
      <c r="U32" s="44"/>
      <c r="V32" s="44"/>
      <c r="W32" s="44"/>
    </row>
    <row r="33" spans="1:23" ht="33" customHeight="1">
      <c r="A33" s="45"/>
      <c r="B33" s="244" t="s">
        <v>94</v>
      </c>
      <c r="C33" s="244"/>
      <c r="D33" s="244"/>
      <c r="E33" s="244"/>
      <c r="F33" s="244"/>
      <c r="G33" s="244"/>
      <c r="H33" s="244"/>
      <c r="I33" s="244"/>
      <c r="J33" s="46"/>
      <c r="M33" s="44"/>
      <c r="N33" s="44"/>
      <c r="O33" s="44"/>
      <c r="P33" s="44"/>
      <c r="Q33" s="44"/>
      <c r="R33" s="44"/>
      <c r="S33" s="44"/>
      <c r="T33" s="44"/>
      <c r="U33" s="44"/>
      <c r="V33" s="44"/>
      <c r="W33" s="44"/>
    </row>
    <row r="34" spans="1:23" ht="33" customHeight="1">
      <c r="A34" s="45"/>
      <c r="B34" s="244" t="s">
        <v>95</v>
      </c>
      <c r="C34" s="244"/>
      <c r="D34" s="244"/>
      <c r="E34" s="244"/>
      <c r="F34" s="244"/>
      <c r="G34" s="244"/>
      <c r="H34" s="244"/>
      <c r="I34" s="244"/>
      <c r="J34" s="46"/>
      <c r="M34" s="44"/>
      <c r="N34" s="44"/>
      <c r="O34" s="44"/>
      <c r="P34" s="44"/>
      <c r="Q34" s="44"/>
      <c r="R34" s="44"/>
      <c r="S34" s="44"/>
      <c r="T34" s="44"/>
      <c r="U34" s="44"/>
      <c r="V34" s="44"/>
      <c r="W34" s="44"/>
    </row>
    <row r="35" spans="1:23" ht="19.5" customHeight="1">
      <c r="A35" s="45"/>
      <c r="B35" s="244" t="s">
        <v>96</v>
      </c>
      <c r="C35" s="244"/>
      <c r="D35" s="244"/>
      <c r="E35" s="244"/>
      <c r="F35" s="244"/>
      <c r="G35" s="244"/>
      <c r="H35" s="244"/>
      <c r="I35" s="244"/>
      <c r="J35" s="46"/>
      <c r="M35" s="44"/>
      <c r="N35" s="44"/>
      <c r="O35" s="44"/>
      <c r="P35" s="44"/>
      <c r="Q35" s="44"/>
      <c r="R35" s="44"/>
      <c r="S35" s="44"/>
      <c r="T35" s="44"/>
      <c r="U35" s="44"/>
      <c r="V35" s="44"/>
      <c r="W35" s="44"/>
    </row>
    <row r="36" spans="1:23" ht="33" customHeight="1">
      <c r="A36" s="45"/>
      <c r="B36" s="244" t="s">
        <v>97</v>
      </c>
      <c r="C36" s="244"/>
      <c r="D36" s="244"/>
      <c r="E36" s="244"/>
      <c r="F36" s="244"/>
      <c r="G36" s="244"/>
      <c r="H36" s="244"/>
      <c r="I36" s="244"/>
      <c r="J36" s="46"/>
      <c r="M36" s="44"/>
      <c r="N36" s="44"/>
      <c r="O36" s="44"/>
      <c r="P36" s="44"/>
      <c r="Q36" s="44"/>
      <c r="R36" s="44"/>
      <c r="S36" s="44"/>
      <c r="T36" s="44"/>
      <c r="U36" s="44"/>
      <c r="V36" s="44"/>
      <c r="W36" s="44"/>
    </row>
    <row r="37" spans="1:23" ht="36" customHeight="1">
      <c r="A37" s="45"/>
      <c r="B37" s="245" t="s">
        <v>98</v>
      </c>
      <c r="C37" s="245"/>
      <c r="D37" s="245"/>
      <c r="E37" s="245"/>
      <c r="F37" s="245"/>
      <c r="G37" s="245"/>
      <c r="H37" s="245"/>
      <c r="I37" s="245"/>
      <c r="J37" s="46"/>
      <c r="M37" s="44"/>
      <c r="N37" s="44"/>
      <c r="O37" s="44"/>
      <c r="P37" s="44"/>
      <c r="Q37" s="44"/>
      <c r="R37" s="44"/>
      <c r="S37" s="44"/>
      <c r="T37" s="44"/>
      <c r="U37" s="44"/>
      <c r="V37" s="44"/>
      <c r="W37" s="44"/>
    </row>
    <row r="38" spans="1:23" ht="6.75" customHeight="1">
      <c r="A38" s="111"/>
      <c r="B38" s="112"/>
      <c r="C38" s="112"/>
      <c r="D38" s="112"/>
      <c r="E38" s="112"/>
      <c r="F38" s="112"/>
      <c r="G38" s="112"/>
      <c r="H38" s="112"/>
      <c r="I38" s="112"/>
      <c r="J38" s="113"/>
      <c r="M38" s="44"/>
      <c r="N38" s="44"/>
      <c r="O38" s="44"/>
      <c r="P38" s="44"/>
      <c r="Q38" s="44"/>
      <c r="R38" s="44"/>
      <c r="S38" s="44"/>
      <c r="T38" s="44"/>
      <c r="U38" s="44"/>
      <c r="V38" s="44"/>
      <c r="W38" s="44"/>
    </row>
    <row r="39" spans="6:23" ht="12.75">
      <c r="F39" s="158"/>
      <c r="G39" s="227"/>
      <c r="H39" s="227"/>
      <c r="I39" s="227"/>
      <c r="J39" s="227"/>
      <c r="M39" s="44"/>
      <c r="N39" s="44"/>
      <c r="O39" s="44"/>
      <c r="P39" s="44"/>
      <c r="Q39" s="44"/>
      <c r="R39" s="44"/>
      <c r="S39" s="44"/>
      <c r="T39" s="44"/>
      <c r="U39" s="44"/>
      <c r="V39" s="44"/>
      <c r="W39" s="44"/>
    </row>
    <row r="40" spans="13:23" ht="12.75">
      <c r="M40" s="44"/>
      <c r="N40" s="44"/>
      <c r="O40" s="44"/>
      <c r="P40" s="44"/>
      <c r="Q40" s="44"/>
      <c r="R40" s="44"/>
      <c r="S40" s="44"/>
      <c r="T40" s="44"/>
      <c r="U40" s="44"/>
      <c r="V40" s="44"/>
      <c r="W40" s="44"/>
    </row>
  </sheetData>
  <sheetProtection/>
  <mergeCells count="50">
    <mergeCell ref="A5:J5"/>
    <mergeCell ref="A6:J6"/>
    <mergeCell ref="B33:I33"/>
    <mergeCell ref="B34:I34"/>
    <mergeCell ref="B35:I35"/>
    <mergeCell ref="B36:I36"/>
    <mergeCell ref="B37:I37"/>
    <mergeCell ref="C25:H25"/>
    <mergeCell ref="C28:H28"/>
    <mergeCell ref="B32:I32"/>
    <mergeCell ref="W12:W13"/>
    <mergeCell ref="C13:H13"/>
    <mergeCell ref="C15:H15"/>
    <mergeCell ref="R23:U23"/>
    <mergeCell ref="C24:H24"/>
    <mergeCell ref="M24:N24"/>
    <mergeCell ref="R24:U24"/>
    <mergeCell ref="C22:H22"/>
    <mergeCell ref="N22:O22"/>
    <mergeCell ref="C23:H23"/>
    <mergeCell ref="O12:O13"/>
    <mergeCell ref="P12:P13"/>
    <mergeCell ref="Q12:Q13"/>
    <mergeCell ref="M25:N25"/>
    <mergeCell ref="C26:H26"/>
    <mergeCell ref="M26:O26"/>
    <mergeCell ref="N23:O23"/>
    <mergeCell ref="C20:H20"/>
    <mergeCell ref="N20:O20"/>
    <mergeCell ref="N21:O21"/>
    <mergeCell ref="G39:J39"/>
    <mergeCell ref="P1:Q6"/>
    <mergeCell ref="B7:I7"/>
    <mergeCell ref="B8:I8"/>
    <mergeCell ref="C16:H16"/>
    <mergeCell ref="C17:H17"/>
    <mergeCell ref="C18:H18"/>
    <mergeCell ref="A2:J2"/>
    <mergeCell ref="A3:J3"/>
    <mergeCell ref="A4:J4"/>
    <mergeCell ref="C9:H9"/>
    <mergeCell ref="O9:W9"/>
    <mergeCell ref="C11:H11"/>
    <mergeCell ref="R12:R13"/>
    <mergeCell ref="S12:U12"/>
    <mergeCell ref="V12:V13"/>
    <mergeCell ref="M11:T11"/>
    <mergeCell ref="U11:W11"/>
    <mergeCell ref="M12:M13"/>
    <mergeCell ref="N12:N13"/>
  </mergeCells>
  <printOptions horizontalCentered="1"/>
  <pageMargins left="0.5118110236220472" right="0.5118110236220472" top="0.3937007874015748" bottom="0.984251968503937" header="0.31496062992125984" footer="0.3937007874015748"/>
  <pageSetup fitToHeight="0" fitToWidth="1" horizontalDpi="600" verticalDpi="600" orientation="portrait" paperSize="9" scale="88" r:id="rId2"/>
  <headerFooter>
    <oddFooter>&amp;C&amp;"Arial Narrow,Negrito"&amp;9TV VICTOR PRAXEDES, Nº 105, BAIRRO DA QUINTA, CEP 68.786-000.
SANTO ANTONIO DO TAUA – PA
TEMAXCONSTRUTORA@GMAIL.COM / (85) 99820-4301&amp;R&amp;P/&amp;N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60"/>
  <sheetViews>
    <sheetView showGridLines="0" view="pageBreakPreview" zoomScaleNormal="85" zoomScaleSheetLayoutView="100" zoomScalePageLayoutView="0" workbookViewId="0" topLeftCell="A25">
      <selection activeCell="A7" sqref="A7:IV7"/>
    </sheetView>
  </sheetViews>
  <sheetFormatPr defaultColWidth="8.8515625" defaultRowHeight="12.75"/>
  <cols>
    <col min="1" max="1" width="8.00390625" style="35" customWidth="1"/>
    <col min="2" max="2" width="6.7109375" style="144" customWidth="1"/>
    <col min="3" max="3" width="42.140625" style="35" customWidth="1"/>
    <col min="4" max="4" width="11.28125" style="35" customWidth="1"/>
    <col min="5" max="5" width="14.8515625" style="35" customWidth="1"/>
    <col min="6" max="6" width="10.8515625" style="35" customWidth="1"/>
    <col min="7" max="7" width="13.57421875" style="35" customWidth="1"/>
    <col min="8" max="8" width="1.8515625" style="35" customWidth="1"/>
    <col min="9" max="9" width="10.140625" style="35" bestFit="1" customWidth="1"/>
    <col min="10" max="10" width="13.7109375" style="35" customWidth="1"/>
    <col min="11" max="12" width="11.57421875" style="35" bestFit="1" customWidth="1"/>
    <col min="13" max="16384" width="8.8515625" style="35" customWidth="1"/>
  </cols>
  <sheetData>
    <row r="1" spans="1:6" s="124" customFormat="1" ht="60.75" customHeight="1">
      <c r="A1" s="36"/>
      <c r="B1" s="140"/>
      <c r="C1" s="36"/>
      <c r="D1" s="36"/>
      <c r="E1" s="36"/>
      <c r="F1" s="36"/>
    </row>
    <row r="2" spans="1:8" s="124" customFormat="1" ht="51" customHeight="1">
      <c r="A2" s="203" t="str">
        <f>ORÇAMENTO!$A$2</f>
        <v>CONTRATAÇÃO DE EMPRESA DE ENGENHARIA PARA REFORMA E REVITALIZAÇÃO DA PRAÇA DA FAMILIA - BAIRRO VILA NOVA, VISANDO ATENDER AS NECESSIDADES DA SECRETARIA MUNICIPAL DE OBRAS, TRANSPORTE, ÁGUA E URBANISMO DO MUNICIPIO DE IPIXUNA DO PARÁ, EM CONFORMIDADE COM O PROJETO BÁSICO, PLANILHA ORÇAMENTÁRIA, CRONOGRAMA FISICO FINANCEIRO E MEMORIAL DESCRITIVO</v>
      </c>
      <c r="B2" s="203"/>
      <c r="C2" s="203"/>
      <c r="D2" s="203"/>
      <c r="E2" s="203"/>
      <c r="F2" s="203"/>
      <c r="G2" s="203"/>
      <c r="H2" s="203"/>
    </row>
    <row r="3" spans="1:6" s="124" customFormat="1" ht="12.75">
      <c r="A3" s="36" t="str">
        <f>ORÇAMENTO!$A$3</f>
        <v>PROCESSO ADMINISTRATIVO Nº 0905/2022</v>
      </c>
      <c r="B3" s="140"/>
      <c r="C3" s="36"/>
      <c r="D3" s="36"/>
      <c r="E3" s="36"/>
      <c r="F3" s="36"/>
    </row>
    <row r="4" spans="1:6" s="124" customFormat="1" ht="12.75">
      <c r="A4" s="36" t="str">
        <f>ORÇAMENTO!$A$4</f>
        <v>MODALIDADE: TOMADA DE PREÇOS Nº 0012/2022-TP </v>
      </c>
      <c r="B4" s="140"/>
      <c r="C4" s="36"/>
      <c r="D4" s="36"/>
      <c r="E4" s="36"/>
      <c r="F4" s="36"/>
    </row>
    <row r="5" spans="1:6" s="124" customFormat="1" ht="12.75">
      <c r="A5" s="36" t="str">
        <f>ORÇAMENTO!$A$5</f>
        <v>OBJETO:</v>
      </c>
      <c r="B5" s="140" t="str">
        <f>ORÇAMENTO!C5</f>
        <v>REFORMA E REVITALIZAÇÃO DA PRAÇA DA FAMÍLIA</v>
      </c>
      <c r="C5" s="36"/>
      <c r="D5" s="36"/>
      <c r="E5" s="36"/>
      <c r="F5" s="36"/>
    </row>
    <row r="6" spans="1:6" s="124" customFormat="1" ht="13.5">
      <c r="A6" s="36" t="str">
        <f>ORÇAMENTO!$A$6</f>
        <v>REFERÊNCIA: SINAPI FEVEREIRO/2022 - NÃO DESONERADO / SEDOP 02/2022 / SICRO OUTUBRO/2021</v>
      </c>
      <c r="B6" s="141"/>
      <c r="C6" s="125"/>
      <c r="D6" s="4"/>
      <c r="E6" s="36"/>
      <c r="F6" s="36"/>
    </row>
    <row r="7" spans="1:8" s="281" customFormat="1" ht="12.75">
      <c r="A7" s="263" t="str">
        <f>ORÇAMENTO!H6</f>
        <v>BDI( % ):</v>
      </c>
      <c r="B7" s="311">
        <f>ORÇAMENTO!I6</f>
        <v>0.2927</v>
      </c>
      <c r="C7" s="263"/>
      <c r="D7" s="263"/>
      <c r="E7" s="263"/>
      <c r="F7" s="263"/>
      <c r="G7" s="126"/>
      <c r="H7" s="126"/>
    </row>
    <row r="8" spans="1:14" s="124" customFormat="1" ht="17.25" customHeight="1">
      <c r="A8" s="248" t="s">
        <v>105</v>
      </c>
      <c r="B8" s="248"/>
      <c r="C8" s="248"/>
      <c r="D8" s="248"/>
      <c r="E8" s="248"/>
      <c r="F8" s="248"/>
      <c r="G8" s="248"/>
      <c r="N8" s="132"/>
    </row>
    <row r="9" spans="1:14" s="36" customFormat="1" ht="17.25" customHeight="1">
      <c r="A9" s="246" t="s">
        <v>102</v>
      </c>
      <c r="B9" s="246"/>
      <c r="C9" s="246" t="s">
        <v>36</v>
      </c>
      <c r="D9" s="246" t="s">
        <v>106</v>
      </c>
      <c r="E9" s="246"/>
      <c r="F9" s="246" t="s">
        <v>107</v>
      </c>
      <c r="G9" s="246"/>
      <c r="N9" s="146"/>
    </row>
    <row r="10" spans="1:14" s="36" customFormat="1" ht="30" customHeight="1">
      <c r="A10" s="246"/>
      <c r="B10" s="246"/>
      <c r="C10" s="246"/>
      <c r="D10" s="147" t="s">
        <v>108</v>
      </c>
      <c r="E10" s="147" t="s">
        <v>109</v>
      </c>
      <c r="F10" s="147" t="s">
        <v>108</v>
      </c>
      <c r="G10" s="147" t="s">
        <v>109</v>
      </c>
      <c r="N10" s="146"/>
    </row>
    <row r="11" spans="1:14" s="124" customFormat="1" ht="15" customHeight="1">
      <c r="A11" s="246" t="s">
        <v>110</v>
      </c>
      <c r="B11" s="246"/>
      <c r="C11" s="154"/>
      <c r="D11" s="154"/>
      <c r="E11" s="154"/>
      <c r="F11" s="154"/>
      <c r="G11" s="154"/>
      <c r="N11" s="132"/>
    </row>
    <row r="12" spans="1:14" s="124" customFormat="1" ht="15" customHeight="1">
      <c r="A12" s="247" t="s">
        <v>111</v>
      </c>
      <c r="B12" s="247"/>
      <c r="C12" s="148" t="s">
        <v>112</v>
      </c>
      <c r="D12" s="149">
        <v>0</v>
      </c>
      <c r="E12" s="149">
        <v>0</v>
      </c>
      <c r="F12" s="149">
        <v>0.2</v>
      </c>
      <c r="G12" s="149">
        <v>0.2</v>
      </c>
      <c r="N12" s="132"/>
    </row>
    <row r="13" spans="1:14" s="124" customFormat="1" ht="15" customHeight="1">
      <c r="A13" s="247" t="s">
        <v>113</v>
      </c>
      <c r="B13" s="247"/>
      <c r="C13" s="148" t="s">
        <v>114</v>
      </c>
      <c r="D13" s="149">
        <v>0.015</v>
      </c>
      <c r="E13" s="149">
        <v>0.015</v>
      </c>
      <c r="F13" s="149">
        <v>0.015</v>
      </c>
      <c r="G13" s="149">
        <v>0.015</v>
      </c>
      <c r="N13" s="132"/>
    </row>
    <row r="14" spans="1:14" s="124" customFormat="1" ht="15" customHeight="1">
      <c r="A14" s="247" t="s">
        <v>115</v>
      </c>
      <c r="B14" s="247"/>
      <c r="C14" s="148" t="s">
        <v>116</v>
      </c>
      <c r="D14" s="149">
        <v>0.01</v>
      </c>
      <c r="E14" s="149">
        <v>0.01</v>
      </c>
      <c r="F14" s="149">
        <v>0.01</v>
      </c>
      <c r="G14" s="149">
        <v>0.01</v>
      </c>
      <c r="N14" s="132"/>
    </row>
    <row r="15" spans="1:14" s="124" customFormat="1" ht="15" customHeight="1">
      <c r="A15" s="247" t="s">
        <v>117</v>
      </c>
      <c r="B15" s="247"/>
      <c r="C15" s="148" t="s">
        <v>118</v>
      </c>
      <c r="D15" s="149">
        <v>0.002</v>
      </c>
      <c r="E15" s="149">
        <v>0.002</v>
      </c>
      <c r="F15" s="149">
        <v>0.002</v>
      </c>
      <c r="G15" s="149">
        <v>0.002</v>
      </c>
      <c r="N15" s="132"/>
    </row>
    <row r="16" spans="1:14" s="124" customFormat="1" ht="15" customHeight="1">
      <c r="A16" s="247" t="s">
        <v>119</v>
      </c>
      <c r="B16" s="247"/>
      <c r="C16" s="148" t="s">
        <v>120</v>
      </c>
      <c r="D16" s="149">
        <v>0.006</v>
      </c>
      <c r="E16" s="149">
        <v>0.006</v>
      </c>
      <c r="F16" s="149">
        <v>0.006</v>
      </c>
      <c r="G16" s="149">
        <v>0.006</v>
      </c>
      <c r="N16" s="132"/>
    </row>
    <row r="17" spans="1:14" s="124" customFormat="1" ht="15" customHeight="1">
      <c r="A17" s="247" t="s">
        <v>121</v>
      </c>
      <c r="B17" s="247"/>
      <c r="C17" s="148" t="s">
        <v>122</v>
      </c>
      <c r="D17" s="149">
        <v>0.025</v>
      </c>
      <c r="E17" s="149">
        <v>0.025</v>
      </c>
      <c r="F17" s="149">
        <v>0.025</v>
      </c>
      <c r="G17" s="149">
        <v>0.025</v>
      </c>
      <c r="N17" s="132"/>
    </row>
    <row r="18" spans="1:14" s="124" customFormat="1" ht="15" customHeight="1">
      <c r="A18" s="247" t="s">
        <v>123</v>
      </c>
      <c r="B18" s="247"/>
      <c r="C18" s="148" t="s">
        <v>124</v>
      </c>
      <c r="D18" s="149">
        <v>0.03</v>
      </c>
      <c r="E18" s="149">
        <v>0.03</v>
      </c>
      <c r="F18" s="149">
        <v>0.03</v>
      </c>
      <c r="G18" s="149">
        <v>0.03</v>
      </c>
      <c r="N18" s="132"/>
    </row>
    <row r="19" spans="1:14" s="124" customFormat="1" ht="15" customHeight="1">
      <c r="A19" s="247" t="s">
        <v>125</v>
      </c>
      <c r="B19" s="247"/>
      <c r="C19" s="148" t="s">
        <v>126</v>
      </c>
      <c r="D19" s="149">
        <v>0.08</v>
      </c>
      <c r="E19" s="149">
        <v>0.08</v>
      </c>
      <c r="F19" s="149">
        <v>0.08</v>
      </c>
      <c r="G19" s="149">
        <v>0.08</v>
      </c>
      <c r="N19" s="132"/>
    </row>
    <row r="20" spans="1:14" s="124" customFormat="1" ht="15" customHeight="1">
      <c r="A20" s="247" t="s">
        <v>127</v>
      </c>
      <c r="B20" s="247"/>
      <c r="C20" s="148" t="s">
        <v>128</v>
      </c>
      <c r="D20" s="149">
        <v>0</v>
      </c>
      <c r="E20" s="149">
        <v>0</v>
      </c>
      <c r="F20" s="149">
        <v>0</v>
      </c>
      <c r="G20" s="149">
        <v>0</v>
      </c>
      <c r="N20" s="132"/>
    </row>
    <row r="21" spans="1:14" s="124" customFormat="1" ht="15" customHeight="1">
      <c r="A21" s="246" t="s">
        <v>129</v>
      </c>
      <c r="B21" s="246"/>
      <c r="C21" s="150" t="s">
        <v>10</v>
      </c>
      <c r="D21" s="151">
        <f>SUM(D12:D20)</f>
        <v>0.16799999999999998</v>
      </c>
      <c r="E21" s="151">
        <f>SUM(E12:E20)</f>
        <v>0.16799999999999998</v>
      </c>
      <c r="F21" s="151">
        <f>SUM(F12:F20)</f>
        <v>0.36800000000000005</v>
      </c>
      <c r="G21" s="151">
        <f>SUM(G12:G20)</f>
        <v>0.36800000000000005</v>
      </c>
      <c r="N21" s="132"/>
    </row>
    <row r="22" spans="1:14" s="124" customFormat="1" ht="15" customHeight="1">
      <c r="A22" s="246" t="s">
        <v>130</v>
      </c>
      <c r="B22" s="246"/>
      <c r="C22" s="154"/>
      <c r="D22" s="154"/>
      <c r="E22" s="154"/>
      <c r="F22" s="154"/>
      <c r="G22" s="154"/>
      <c r="N22" s="132"/>
    </row>
    <row r="23" spans="1:14" s="124" customFormat="1" ht="15" customHeight="1">
      <c r="A23" s="247" t="s">
        <v>131</v>
      </c>
      <c r="B23" s="247"/>
      <c r="C23" s="148" t="s">
        <v>132</v>
      </c>
      <c r="D23" s="149">
        <v>0.1812</v>
      </c>
      <c r="E23" s="152" t="s">
        <v>133</v>
      </c>
      <c r="F23" s="149">
        <f aca="true" t="shared" si="0" ref="F23:G32">D23</f>
        <v>0.1812</v>
      </c>
      <c r="G23" s="152" t="str">
        <f t="shared" si="0"/>
        <v>Não incide</v>
      </c>
      <c r="N23" s="132"/>
    </row>
    <row r="24" spans="1:14" s="124" customFormat="1" ht="15" customHeight="1">
      <c r="A24" s="247" t="s">
        <v>134</v>
      </c>
      <c r="B24" s="247"/>
      <c r="C24" s="148" t="s">
        <v>135</v>
      </c>
      <c r="D24" s="149">
        <v>0.0415</v>
      </c>
      <c r="E24" s="152" t="s">
        <v>133</v>
      </c>
      <c r="F24" s="149">
        <f t="shared" si="0"/>
        <v>0.0415</v>
      </c>
      <c r="G24" s="152" t="str">
        <f t="shared" si="0"/>
        <v>Não incide</v>
      </c>
      <c r="N24" s="132"/>
    </row>
    <row r="25" spans="1:14" s="124" customFormat="1" ht="15" customHeight="1">
      <c r="A25" s="247" t="s">
        <v>136</v>
      </c>
      <c r="B25" s="247"/>
      <c r="C25" s="148" t="s">
        <v>137</v>
      </c>
      <c r="D25" s="149">
        <v>0.0087</v>
      </c>
      <c r="E25" s="149">
        <v>0.0066</v>
      </c>
      <c r="F25" s="149">
        <f t="shared" si="0"/>
        <v>0.0087</v>
      </c>
      <c r="G25" s="149">
        <f t="shared" si="0"/>
        <v>0.0066</v>
      </c>
      <c r="N25" s="132"/>
    </row>
    <row r="26" spans="1:14" s="124" customFormat="1" ht="15" customHeight="1">
      <c r="A26" s="247" t="s">
        <v>138</v>
      </c>
      <c r="B26" s="247"/>
      <c r="C26" s="148" t="s">
        <v>139</v>
      </c>
      <c r="D26" s="149">
        <v>0.1111</v>
      </c>
      <c r="E26" s="149">
        <v>0.0833</v>
      </c>
      <c r="F26" s="149">
        <f t="shared" si="0"/>
        <v>0.1111</v>
      </c>
      <c r="G26" s="149">
        <f t="shared" si="0"/>
        <v>0.0833</v>
      </c>
      <c r="N26" s="132"/>
    </row>
    <row r="27" spans="1:14" s="124" customFormat="1" ht="15" customHeight="1">
      <c r="A27" s="247" t="s">
        <v>140</v>
      </c>
      <c r="B27" s="247"/>
      <c r="C27" s="148" t="s">
        <v>141</v>
      </c>
      <c r="D27" s="149">
        <v>0.0007</v>
      </c>
      <c r="E27" s="149">
        <v>0.0006</v>
      </c>
      <c r="F27" s="149">
        <f t="shared" si="0"/>
        <v>0.0007</v>
      </c>
      <c r="G27" s="149">
        <f t="shared" si="0"/>
        <v>0.0006</v>
      </c>
      <c r="N27" s="132"/>
    </row>
    <row r="28" spans="1:14" s="124" customFormat="1" ht="15" customHeight="1">
      <c r="A28" s="247" t="s">
        <v>142</v>
      </c>
      <c r="B28" s="247"/>
      <c r="C28" s="148" t="s">
        <v>143</v>
      </c>
      <c r="D28" s="149">
        <v>0.0074</v>
      </c>
      <c r="E28" s="149">
        <v>0.0056</v>
      </c>
      <c r="F28" s="149">
        <f t="shared" si="0"/>
        <v>0.0074</v>
      </c>
      <c r="G28" s="149">
        <f t="shared" si="0"/>
        <v>0.0056</v>
      </c>
      <c r="N28" s="132"/>
    </row>
    <row r="29" spans="1:14" s="124" customFormat="1" ht="15" customHeight="1">
      <c r="A29" s="247" t="s">
        <v>144</v>
      </c>
      <c r="B29" s="247"/>
      <c r="C29" s="148" t="s">
        <v>145</v>
      </c>
      <c r="D29" s="149">
        <v>0.0272</v>
      </c>
      <c r="E29" s="152" t="s">
        <v>133</v>
      </c>
      <c r="F29" s="149">
        <f t="shared" si="0"/>
        <v>0.0272</v>
      </c>
      <c r="G29" s="152" t="str">
        <f t="shared" si="0"/>
        <v>Não incide</v>
      </c>
      <c r="N29" s="132"/>
    </row>
    <row r="30" spans="1:14" s="124" customFormat="1" ht="15" customHeight="1">
      <c r="A30" s="247" t="s">
        <v>146</v>
      </c>
      <c r="B30" s="247"/>
      <c r="C30" s="148" t="s">
        <v>147</v>
      </c>
      <c r="D30" s="149">
        <v>0.0011</v>
      </c>
      <c r="E30" s="149">
        <v>0.0008</v>
      </c>
      <c r="F30" s="149">
        <f t="shared" si="0"/>
        <v>0.0011</v>
      </c>
      <c r="G30" s="149">
        <f t="shared" si="0"/>
        <v>0.0008</v>
      </c>
      <c r="N30" s="132"/>
    </row>
    <row r="31" spans="1:14" s="124" customFormat="1" ht="15" customHeight="1">
      <c r="A31" s="247" t="s">
        <v>148</v>
      </c>
      <c r="B31" s="247"/>
      <c r="C31" s="148" t="s">
        <v>149</v>
      </c>
      <c r="D31" s="149">
        <v>0.1124</v>
      </c>
      <c r="E31" s="149">
        <v>0.0843</v>
      </c>
      <c r="F31" s="149">
        <f t="shared" si="0"/>
        <v>0.1124</v>
      </c>
      <c r="G31" s="149">
        <f t="shared" si="0"/>
        <v>0.0843</v>
      </c>
      <c r="N31" s="132"/>
    </row>
    <row r="32" spans="1:14" s="124" customFormat="1" ht="15" customHeight="1">
      <c r="A32" s="247" t="s">
        <v>150</v>
      </c>
      <c r="B32" s="247"/>
      <c r="C32" s="148" t="s">
        <v>151</v>
      </c>
      <c r="D32" s="149">
        <v>0.0003</v>
      </c>
      <c r="E32" s="149">
        <v>0.0002</v>
      </c>
      <c r="F32" s="149">
        <f t="shared" si="0"/>
        <v>0.0003</v>
      </c>
      <c r="G32" s="149">
        <f t="shared" si="0"/>
        <v>0.0002</v>
      </c>
      <c r="N32" s="132"/>
    </row>
    <row r="33" spans="1:14" s="124" customFormat="1" ht="15" customHeight="1">
      <c r="A33" s="246" t="s">
        <v>152</v>
      </c>
      <c r="B33" s="246"/>
      <c r="C33" s="150" t="s">
        <v>10</v>
      </c>
      <c r="D33" s="151">
        <f>SUM(D23:D32)</f>
        <v>0.49160000000000004</v>
      </c>
      <c r="E33" s="151">
        <f>SUM(E23:E32)</f>
        <v>0.18139999999999998</v>
      </c>
      <c r="F33" s="151">
        <f>SUM(F23:F32)</f>
        <v>0.49160000000000004</v>
      </c>
      <c r="G33" s="151">
        <f>SUM(G23:G32)</f>
        <v>0.18139999999999998</v>
      </c>
      <c r="N33" s="132"/>
    </row>
    <row r="34" spans="1:14" s="124" customFormat="1" ht="15" customHeight="1">
      <c r="A34" s="246" t="s">
        <v>153</v>
      </c>
      <c r="B34" s="246"/>
      <c r="C34" s="154"/>
      <c r="D34" s="154"/>
      <c r="E34" s="154"/>
      <c r="F34" s="154"/>
      <c r="G34" s="154"/>
      <c r="N34" s="132"/>
    </row>
    <row r="35" spans="1:14" s="124" customFormat="1" ht="15" customHeight="1">
      <c r="A35" s="247" t="s">
        <v>154</v>
      </c>
      <c r="B35" s="247"/>
      <c r="C35" s="148" t="s">
        <v>155</v>
      </c>
      <c r="D35" s="149">
        <v>0.0575</v>
      </c>
      <c r="E35" s="149">
        <v>0.0432</v>
      </c>
      <c r="F35" s="149">
        <f>D35</f>
        <v>0.0575</v>
      </c>
      <c r="G35" s="149">
        <f>E35</f>
        <v>0.0432</v>
      </c>
      <c r="N35" s="132"/>
    </row>
    <row r="36" spans="1:14" s="124" customFormat="1" ht="15" customHeight="1">
      <c r="A36" s="247" t="s">
        <v>156</v>
      </c>
      <c r="B36" s="247"/>
      <c r="C36" s="148" t="s">
        <v>157</v>
      </c>
      <c r="D36" s="149">
        <v>0.0014</v>
      </c>
      <c r="E36" s="149">
        <v>0.001</v>
      </c>
      <c r="F36" s="149">
        <f aca="true" t="shared" si="1" ref="F36:G39">D36</f>
        <v>0.0014</v>
      </c>
      <c r="G36" s="149">
        <f t="shared" si="1"/>
        <v>0.001</v>
      </c>
      <c r="N36" s="132"/>
    </row>
    <row r="37" spans="1:14" s="124" customFormat="1" ht="15" customHeight="1">
      <c r="A37" s="247" t="s">
        <v>158</v>
      </c>
      <c r="B37" s="247"/>
      <c r="C37" s="148" t="s">
        <v>159</v>
      </c>
      <c r="D37" s="149">
        <v>0.031</v>
      </c>
      <c r="E37" s="149">
        <v>0.0232</v>
      </c>
      <c r="F37" s="149">
        <f t="shared" si="1"/>
        <v>0.031</v>
      </c>
      <c r="G37" s="149">
        <f t="shared" si="1"/>
        <v>0.0232</v>
      </c>
      <c r="N37" s="132"/>
    </row>
    <row r="38" spans="1:14" s="124" customFormat="1" ht="15" customHeight="1">
      <c r="A38" s="247" t="s">
        <v>160</v>
      </c>
      <c r="B38" s="247"/>
      <c r="C38" s="148" t="s">
        <v>161</v>
      </c>
      <c r="D38" s="149">
        <v>0.0331</v>
      </c>
      <c r="E38" s="149">
        <v>0.0249</v>
      </c>
      <c r="F38" s="149">
        <f t="shared" si="1"/>
        <v>0.0331</v>
      </c>
      <c r="G38" s="149">
        <f t="shared" si="1"/>
        <v>0.0249</v>
      </c>
      <c r="N38" s="132"/>
    </row>
    <row r="39" spans="1:14" s="124" customFormat="1" ht="15" customHeight="1">
      <c r="A39" s="247" t="s">
        <v>162</v>
      </c>
      <c r="B39" s="247"/>
      <c r="C39" s="148" t="s">
        <v>163</v>
      </c>
      <c r="D39" s="149">
        <v>0.0048</v>
      </c>
      <c r="E39" s="149">
        <v>0.0036</v>
      </c>
      <c r="F39" s="149">
        <f t="shared" si="1"/>
        <v>0.0048</v>
      </c>
      <c r="G39" s="149">
        <f t="shared" si="1"/>
        <v>0.0036</v>
      </c>
      <c r="N39" s="132"/>
    </row>
    <row r="40" spans="1:14" s="124" customFormat="1" ht="15" customHeight="1">
      <c r="A40" s="246" t="s">
        <v>164</v>
      </c>
      <c r="B40" s="246"/>
      <c r="C40" s="150" t="s">
        <v>10</v>
      </c>
      <c r="D40" s="151">
        <f>SUM(D35:D39)</f>
        <v>0.1278</v>
      </c>
      <c r="E40" s="151">
        <f>SUM(E35:E39)</f>
        <v>0.0959</v>
      </c>
      <c r="F40" s="151">
        <f>SUM(F35:F39)</f>
        <v>0.1278</v>
      </c>
      <c r="G40" s="151">
        <f>SUM(G35:G39)</f>
        <v>0.0959</v>
      </c>
      <c r="N40" s="132"/>
    </row>
    <row r="41" spans="1:14" s="124" customFormat="1" ht="15" customHeight="1">
      <c r="A41" s="246" t="s">
        <v>165</v>
      </c>
      <c r="B41" s="246"/>
      <c r="C41" s="154"/>
      <c r="D41" s="154"/>
      <c r="E41" s="154"/>
      <c r="F41" s="154"/>
      <c r="G41" s="154"/>
      <c r="N41" s="132"/>
    </row>
    <row r="42" spans="1:14" s="124" customFormat="1" ht="15" customHeight="1">
      <c r="A42" s="247" t="s">
        <v>166</v>
      </c>
      <c r="B42" s="247"/>
      <c r="C42" s="148" t="s">
        <v>167</v>
      </c>
      <c r="D42" s="149">
        <v>0.0826</v>
      </c>
      <c r="E42" s="149">
        <v>0.0305</v>
      </c>
      <c r="F42" s="149">
        <v>0.1809</v>
      </c>
      <c r="G42" s="149">
        <v>0.0668</v>
      </c>
      <c r="N42" s="132"/>
    </row>
    <row r="43" spans="1:14" s="124" customFormat="1" ht="44.25" customHeight="1">
      <c r="A43" s="247" t="s">
        <v>168</v>
      </c>
      <c r="B43" s="247"/>
      <c r="C43" s="153" t="s">
        <v>169</v>
      </c>
      <c r="D43" s="149">
        <v>0.0048</v>
      </c>
      <c r="E43" s="149">
        <v>0.0036</v>
      </c>
      <c r="F43" s="149">
        <v>0.0051</v>
      </c>
      <c r="G43" s="149">
        <v>0.0038</v>
      </c>
      <c r="N43" s="132"/>
    </row>
    <row r="44" spans="1:14" s="124" customFormat="1" ht="15" customHeight="1">
      <c r="A44" s="246" t="s">
        <v>170</v>
      </c>
      <c r="B44" s="246"/>
      <c r="C44" s="150" t="s">
        <v>10</v>
      </c>
      <c r="D44" s="151">
        <f>SUM(D42:D43)</f>
        <v>0.0874</v>
      </c>
      <c r="E44" s="151">
        <f>SUM(E42:E43)</f>
        <v>0.0341</v>
      </c>
      <c r="F44" s="151">
        <f>SUM(F42:F43)</f>
        <v>0.186</v>
      </c>
      <c r="G44" s="151">
        <f>SUM(G42:G43)</f>
        <v>0.0706</v>
      </c>
      <c r="N44" s="132"/>
    </row>
    <row r="45" spans="1:14" s="124" customFormat="1" ht="15" customHeight="1">
      <c r="A45" s="249" t="s">
        <v>171</v>
      </c>
      <c r="B45" s="250"/>
      <c r="C45" s="251"/>
      <c r="D45" s="151">
        <f>D21+D33+D40+D44</f>
        <v>0.8748</v>
      </c>
      <c r="E45" s="151">
        <f>E21+E33+E40+E44</f>
        <v>0.47939999999999994</v>
      </c>
      <c r="F45" s="151">
        <f>F21+F33+F40+F44</f>
        <v>1.1734000000000002</v>
      </c>
      <c r="G45" s="151">
        <f>G21+G33+G40+G44</f>
        <v>0.7159</v>
      </c>
      <c r="J45" s="133"/>
      <c r="K45" s="134"/>
      <c r="L45" s="131"/>
      <c r="M45" s="132"/>
      <c r="N45" s="132"/>
    </row>
    <row r="46" spans="2:14" s="124" customFormat="1" ht="15" customHeight="1">
      <c r="B46" s="142"/>
      <c r="J46" s="133"/>
      <c r="K46" s="134"/>
      <c r="L46" s="131"/>
      <c r="M46" s="132"/>
      <c r="N46" s="132"/>
    </row>
    <row r="47" spans="1:14" s="124" customFormat="1" ht="16.5" customHeight="1">
      <c r="A47" s="3"/>
      <c r="B47" s="143"/>
      <c r="C47" s="123"/>
      <c r="D47" s="3"/>
      <c r="E47" s="3"/>
      <c r="F47" s="3"/>
      <c r="G47" s="3"/>
      <c r="J47" s="133"/>
      <c r="K47" s="132"/>
      <c r="L47" s="132"/>
      <c r="M47" s="132"/>
      <c r="N47" s="132"/>
    </row>
    <row r="48" spans="1:14" s="124" customFormat="1" ht="14.25" customHeight="1">
      <c r="A48" s="3"/>
      <c r="B48" s="143"/>
      <c r="C48" s="3"/>
      <c r="D48" s="3"/>
      <c r="E48" s="3"/>
      <c r="F48" s="3"/>
      <c r="G48" s="3"/>
      <c r="J48" s="133"/>
      <c r="K48" s="132"/>
      <c r="L48" s="132"/>
      <c r="M48" s="132"/>
      <c r="N48" s="132"/>
    </row>
    <row r="49" spans="1:14" s="124" customFormat="1" ht="14.25" customHeight="1">
      <c r="A49" s="3"/>
      <c r="B49" s="143"/>
      <c r="C49" s="3"/>
      <c r="D49" s="3"/>
      <c r="E49" s="3"/>
      <c r="F49" s="3"/>
      <c r="G49" s="3"/>
      <c r="J49" s="133"/>
      <c r="K49" s="132"/>
      <c r="L49" s="132"/>
      <c r="M49" s="132"/>
      <c r="N49" s="132"/>
    </row>
    <row r="50" spans="1:14" s="124" customFormat="1" ht="14.25" customHeight="1">
      <c r="A50" s="3"/>
      <c r="B50" s="143"/>
      <c r="C50" s="135"/>
      <c r="D50" s="3"/>
      <c r="E50" s="3"/>
      <c r="F50" s="3"/>
      <c r="G50" s="135"/>
      <c r="J50" s="132"/>
      <c r="K50" s="132"/>
      <c r="L50" s="132"/>
      <c r="M50" s="132"/>
      <c r="N50" s="132"/>
    </row>
    <row r="51" spans="1:9" s="124" customFormat="1" ht="13.5">
      <c r="A51" s="3"/>
      <c r="B51" s="143"/>
      <c r="C51" s="3"/>
      <c r="D51" s="3"/>
      <c r="E51" s="3"/>
      <c r="F51" s="3"/>
      <c r="G51" s="3"/>
      <c r="I51" s="132"/>
    </row>
    <row r="52" spans="1:2" s="124" customFormat="1" ht="12.75">
      <c r="A52" s="3"/>
      <c r="B52" s="142"/>
    </row>
    <row r="53" spans="1:2" s="124" customFormat="1" ht="12.75">
      <c r="A53" s="3"/>
      <c r="B53" s="142"/>
    </row>
    <row r="55" spans="4:7" ht="13.5">
      <c r="D55" s="40"/>
      <c r="E55" s="40"/>
      <c r="F55" s="12"/>
      <c r="G55" s="41"/>
    </row>
    <row r="56" spans="1:7" ht="14.25">
      <c r="A56" s="136"/>
      <c r="B56" s="145"/>
      <c r="C56" s="137"/>
      <c r="D56" s="138"/>
      <c r="E56" s="139"/>
      <c r="F56" s="12"/>
      <c r="G56" s="41"/>
    </row>
    <row r="57" spans="4:7" ht="13.5">
      <c r="D57" s="40"/>
      <c r="E57" s="40"/>
      <c r="F57" s="40"/>
      <c r="G57" s="41"/>
    </row>
    <row r="58" spans="4:6" ht="12.75">
      <c r="D58" s="40"/>
      <c r="E58" s="40"/>
      <c r="F58" s="40"/>
    </row>
    <row r="59" spans="4:7" ht="13.5">
      <c r="D59" s="40"/>
      <c r="E59" s="40"/>
      <c r="F59" s="40"/>
      <c r="G59" s="41"/>
    </row>
    <row r="60" spans="4:7" ht="12.75">
      <c r="D60" s="40"/>
      <c r="E60" s="40"/>
      <c r="F60" s="40"/>
      <c r="G60" s="40"/>
    </row>
  </sheetData>
  <sheetProtection/>
  <mergeCells count="41">
    <mergeCell ref="A2:H2"/>
    <mergeCell ref="A45:C45"/>
    <mergeCell ref="A39:B39"/>
    <mergeCell ref="A40:B40"/>
    <mergeCell ref="A44:B44"/>
    <mergeCell ref="A42:B42"/>
    <mergeCell ref="A43:B43"/>
    <mergeCell ref="A41:B41"/>
    <mergeCell ref="A35:B35"/>
    <mergeCell ref="A36:B36"/>
    <mergeCell ref="A28:B28"/>
    <mergeCell ref="A29:B29"/>
    <mergeCell ref="A30:B30"/>
    <mergeCell ref="A31:B31"/>
    <mergeCell ref="A8:G8"/>
    <mergeCell ref="A9:B10"/>
    <mergeCell ref="A24:B24"/>
    <mergeCell ref="A25:B25"/>
    <mergeCell ref="A12:B12"/>
    <mergeCell ref="A13:B13"/>
    <mergeCell ref="A14:B14"/>
    <mergeCell ref="A15:B15"/>
    <mergeCell ref="A38:B38"/>
    <mergeCell ref="A26:B26"/>
    <mergeCell ref="A27:B27"/>
    <mergeCell ref="A23:B23"/>
    <mergeCell ref="A37:B37"/>
    <mergeCell ref="A11:B11"/>
    <mergeCell ref="A34:B34"/>
    <mergeCell ref="A22:B22"/>
    <mergeCell ref="A32:B32"/>
    <mergeCell ref="A33:B33"/>
    <mergeCell ref="A21:B21"/>
    <mergeCell ref="A20:B20"/>
    <mergeCell ref="C9:C10"/>
    <mergeCell ref="D9:E9"/>
    <mergeCell ref="F9:G9"/>
    <mergeCell ref="A16:B16"/>
    <mergeCell ref="A17:B17"/>
    <mergeCell ref="A18:B18"/>
    <mergeCell ref="A19:B19"/>
  </mergeCells>
  <printOptions horizontalCentered="1"/>
  <pageMargins left="0.2755905511811024" right="0.2362204724409449" top="0.3937007874015748" bottom="0.984251968503937" header="0.35433070866141736" footer="0.3937007874015748"/>
  <pageSetup fitToHeight="1" fitToWidth="1" horizontalDpi="300" verticalDpi="300" orientation="portrait" paperSize="9" scale="92" r:id="rId2"/>
  <headerFooter alignWithMargins="0">
    <oddFooter>&amp;C&amp;"Arial Narrow,Negrito"&amp;9TV VICTOR PRAXEDES, Nº 105, BAIRRO DA QUINTA, CEP 68.786-000.
SANTO ANTONIO DO TAUA – PA
TEMAXCONSTRUTORA@GMAIL.COM / (85) 99820-4301&amp;R&amp;P/&amp;N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861"/>
  <sheetViews>
    <sheetView showGridLines="0" tabSelected="1" view="pageBreakPreview" zoomScaleNormal="85" zoomScaleSheetLayoutView="100" zoomScalePageLayoutView="0" workbookViewId="0" topLeftCell="A4">
      <pane ySplit="5" topLeftCell="A846" activePane="bottomLeft" state="frozen"/>
      <selection pane="topLeft" activeCell="A4" sqref="A4"/>
      <selection pane="bottomLeft" activeCell="C857" sqref="C857"/>
    </sheetView>
  </sheetViews>
  <sheetFormatPr defaultColWidth="8.8515625" defaultRowHeight="12.75"/>
  <cols>
    <col min="1" max="1" width="10.57421875" style="35" customWidth="1"/>
    <col min="2" max="2" width="8.8515625" style="144" customWidth="1"/>
    <col min="3" max="3" width="54.7109375" style="35" customWidth="1"/>
    <col min="4" max="4" width="7.28125" style="35" customWidth="1"/>
    <col min="5" max="5" width="9.57421875" style="35" customWidth="1"/>
    <col min="6" max="6" width="13.57421875" style="272" customWidth="1"/>
    <col min="7" max="7" width="13.00390625" style="35" customWidth="1"/>
    <col min="8" max="8" width="10.140625" style="35" bestFit="1" customWidth="1"/>
    <col min="9" max="9" width="13.57421875" style="272" customWidth="1"/>
    <col min="10" max="10" width="13.7109375" style="35" customWidth="1"/>
    <col min="11" max="11" width="11.57421875" style="35" bestFit="1" customWidth="1"/>
    <col min="12" max="16384" width="8.8515625" style="35" customWidth="1"/>
  </cols>
  <sheetData>
    <row r="1" spans="1:9" s="124" customFormat="1" ht="57" customHeight="1">
      <c r="A1" s="36"/>
      <c r="B1" s="140"/>
      <c r="C1" s="36"/>
      <c r="D1" s="36"/>
      <c r="E1" s="36"/>
      <c r="F1" s="273"/>
      <c r="I1" s="273"/>
    </row>
    <row r="2" spans="1:9" s="124" customFormat="1" ht="41.25" customHeight="1">
      <c r="A2" s="203" t="str">
        <f>CRONOGRAMA!A2</f>
        <v>CONTRATAÇÃO DE EMPRESA DE ENGENHARIA PARA REFORMA E REVITALIZAÇÃO DA PRAÇA DA FAMILIA - BAIRRO VILA NOVA, VISANDO ATENDER AS NECESSIDADES DA SECRETARIA MUNICIPAL DE OBRAS, TRANSPORTE, ÁGUA E URBANISMO DO MUNICIPIO DE IPIXUNA DO PARÁ, EM CONFORMIDADE COM O PROJETO BÁSICO, PLANILHA ORÇAMENTÁRIA, CRONOGRAMA FISICO FINANCEIRO E MEMORIAL DESCRITIVO</v>
      </c>
      <c r="B2" s="203"/>
      <c r="C2" s="203"/>
      <c r="D2" s="203"/>
      <c r="E2" s="203"/>
      <c r="F2" s="203"/>
      <c r="G2" s="203"/>
      <c r="I2" s="281"/>
    </row>
    <row r="3" spans="1:9" s="124" customFormat="1" ht="12.75">
      <c r="A3" s="36" t="str">
        <f>CRONOGRAMA!A3</f>
        <v>PROCESSO ADMINISTRATIVO Nº 0905/2022</v>
      </c>
      <c r="B3" s="140"/>
      <c r="C3" s="36"/>
      <c r="D3" s="36"/>
      <c r="E3" s="36"/>
      <c r="F3" s="273"/>
      <c r="I3" s="273"/>
    </row>
    <row r="4" spans="1:9" s="124" customFormat="1" ht="12.75">
      <c r="A4" s="36" t="str">
        <f>CRONOGRAMA!A4</f>
        <v>MODALIDADE: TOMADA DE PREÇOS Nº 0012/2022-TP </v>
      </c>
      <c r="B4" s="140"/>
      <c r="C4" s="36"/>
      <c r="D4" s="36"/>
      <c r="E4" s="36"/>
      <c r="F4" s="273"/>
      <c r="I4" s="273"/>
    </row>
    <row r="5" spans="1:9" s="124" customFormat="1" ht="12.75">
      <c r="A5" s="36" t="str">
        <f>CRONOGRAMA!A5</f>
        <v>OBJETO:</v>
      </c>
      <c r="B5" s="36" t="str">
        <f>CRONOGRAMA!B5</f>
        <v>REFORMA E REVITALIZAÇÃO DA PRAÇA DA FAMÍLIA</v>
      </c>
      <c r="C5" s="36"/>
      <c r="D5" s="36"/>
      <c r="E5" s="36"/>
      <c r="F5" s="273"/>
      <c r="I5" s="273"/>
    </row>
    <row r="6" spans="1:9" s="124" customFormat="1" ht="13.5">
      <c r="A6" s="36" t="str">
        <f>CRONOGRAMA!A6</f>
        <v>REFERÊNCIA: SINAPI FEVEREIRO/2022 - NÃO DESONERADO / SEDOP 02/2022 / SICRO OUTUBRO/2021</v>
      </c>
      <c r="B6" s="141"/>
      <c r="C6" s="125"/>
      <c r="D6" s="4"/>
      <c r="E6" s="36"/>
      <c r="F6" s="273"/>
      <c r="I6" s="273"/>
    </row>
    <row r="7" spans="1:10" s="281" customFormat="1" ht="12.75">
      <c r="A7" s="263" t="str">
        <f>ORÇAMENTO!H6</f>
        <v>BDI( % ):</v>
      </c>
      <c r="B7" s="311">
        <f>ORÇAMENTO!I6</f>
        <v>0.2927</v>
      </c>
      <c r="C7" s="263"/>
      <c r="D7" s="263"/>
      <c r="E7" s="263"/>
      <c r="F7" s="263"/>
      <c r="G7" s="126"/>
      <c r="H7" s="126"/>
      <c r="I7" s="263" t="s">
        <v>490</v>
      </c>
      <c r="J7" s="281" t="s">
        <v>491</v>
      </c>
    </row>
    <row r="8" spans="1:14" s="281" customFormat="1" ht="18.75" customHeight="1">
      <c r="A8" s="355" t="s">
        <v>104</v>
      </c>
      <c r="B8" s="355"/>
      <c r="C8" s="355"/>
      <c r="D8" s="355"/>
      <c r="E8" s="355"/>
      <c r="F8" s="355"/>
      <c r="G8" s="355"/>
      <c r="H8" s="395">
        <f>BDI!I28</f>
        <v>0.2927</v>
      </c>
      <c r="I8" s="361">
        <v>0.9977</v>
      </c>
      <c r="J8" s="361">
        <v>0.9915</v>
      </c>
      <c r="L8" s="356"/>
      <c r="M8" s="356"/>
      <c r="N8" s="356"/>
    </row>
    <row r="9" spans="1:14" s="281" customFormat="1" ht="7.5" customHeight="1">
      <c r="A9" s="356"/>
      <c r="B9" s="360"/>
      <c r="C9" s="356"/>
      <c r="D9" s="356"/>
      <c r="E9" s="356"/>
      <c r="F9" s="381"/>
      <c r="G9" s="356"/>
      <c r="H9" s="356"/>
      <c r="I9" s="381"/>
      <c r="J9" s="359"/>
      <c r="K9" s="356"/>
      <c r="L9" s="357"/>
      <c r="M9" s="358"/>
      <c r="N9" s="358"/>
    </row>
    <row r="10" spans="1:9" ht="24" customHeight="1">
      <c r="A10" s="390" t="str">
        <f>ORÇAMENTO!B12</f>
        <v>CPU</v>
      </c>
      <c r="B10" s="162" t="str">
        <f>ORÇAMENTO!C12</f>
        <v>01</v>
      </c>
      <c r="C10" s="252" t="str">
        <f>ORÇAMENTO!D12</f>
        <v>ADMINISTRAÇÃO LOCAL DE OBRA</v>
      </c>
      <c r="D10" s="252"/>
      <c r="E10" s="252"/>
      <c r="F10" s="391" t="s">
        <v>295</v>
      </c>
      <c r="G10" s="170" t="str">
        <f>ORÇAMENTO!E12</f>
        <v>UN</v>
      </c>
      <c r="I10" s="163" t="s">
        <v>295</v>
      </c>
    </row>
    <row r="11" spans="1:9" s="291" customFormat="1" ht="16.5" customHeight="1">
      <c r="A11" s="391" t="s">
        <v>296</v>
      </c>
      <c r="B11" s="392" t="s">
        <v>102</v>
      </c>
      <c r="C11" s="391" t="s">
        <v>36</v>
      </c>
      <c r="D11" s="399" t="s">
        <v>297</v>
      </c>
      <c r="E11" s="400" t="s">
        <v>26</v>
      </c>
      <c r="F11" s="393" t="s">
        <v>298</v>
      </c>
      <c r="G11" s="393" t="s">
        <v>10</v>
      </c>
      <c r="I11" s="393" t="s">
        <v>298</v>
      </c>
    </row>
    <row r="12" spans="1:10" ht="27" customHeight="1">
      <c r="A12" s="164" t="s">
        <v>99</v>
      </c>
      <c r="B12" s="165" t="s">
        <v>301</v>
      </c>
      <c r="C12" s="166" t="s">
        <v>302</v>
      </c>
      <c r="D12" s="167" t="s">
        <v>103</v>
      </c>
      <c r="E12" s="168">
        <f>2*15*3</f>
        <v>90</v>
      </c>
      <c r="F12" s="386">
        <f>ROUND(I12*$J$8,2)</f>
        <v>81.46</v>
      </c>
      <c r="G12" s="169">
        <f>ROUND(E12*F12,2)</f>
        <v>7331.4</v>
      </c>
      <c r="I12" s="386">
        <v>82.16</v>
      </c>
      <c r="J12" s="386">
        <f>ORÇAMENTO!Q96</f>
        <v>1724.179999999993</v>
      </c>
    </row>
    <row r="13" spans="1:10" ht="27" customHeight="1">
      <c r="A13" s="164" t="s">
        <v>99</v>
      </c>
      <c r="B13" s="165" t="s">
        <v>303</v>
      </c>
      <c r="C13" s="166" t="s">
        <v>196</v>
      </c>
      <c r="D13" s="167" t="s">
        <v>103</v>
      </c>
      <c r="E13" s="168">
        <f>8*20*3</f>
        <v>480</v>
      </c>
      <c r="F13" s="386">
        <f>ROUND(I13*$J$8,2)</f>
        <v>18.35</v>
      </c>
      <c r="G13" s="169">
        <f>ROUND(E13*F13,2)</f>
        <v>8808</v>
      </c>
      <c r="I13" s="386">
        <v>18.51</v>
      </c>
      <c r="J13" s="416">
        <f>G134</f>
        <v>0.514513124</v>
      </c>
    </row>
    <row r="14" spans="1:14" s="124" customFormat="1" ht="16.5" customHeight="1">
      <c r="A14" s="366" t="s">
        <v>485</v>
      </c>
      <c r="B14" s="365"/>
      <c r="C14" s="365"/>
      <c r="D14" s="365"/>
      <c r="E14" s="365"/>
      <c r="F14" s="364"/>
      <c r="G14" s="397">
        <v>0</v>
      </c>
      <c r="H14" s="376"/>
      <c r="I14" s="376"/>
      <c r="J14" s="376"/>
      <c r="K14" s="376"/>
      <c r="L14" s="376"/>
      <c r="M14" s="376"/>
      <c r="N14" s="376"/>
    </row>
    <row r="15" spans="1:14" s="281" customFormat="1" ht="16.5" customHeight="1">
      <c r="A15" s="366" t="s">
        <v>488</v>
      </c>
      <c r="B15" s="365"/>
      <c r="C15" s="365"/>
      <c r="D15" s="365"/>
      <c r="E15" s="365"/>
      <c r="F15" s="364"/>
      <c r="G15" s="397">
        <f>SUM(G12:G13)</f>
        <v>16139.4</v>
      </c>
      <c r="H15" s="376"/>
      <c r="I15" s="376"/>
      <c r="J15" s="376"/>
      <c r="K15" s="376"/>
      <c r="L15" s="376"/>
      <c r="M15" s="376"/>
      <c r="N15" s="376"/>
    </row>
    <row r="16" spans="1:14" s="281" customFormat="1" ht="16.5" customHeight="1">
      <c r="A16" s="369" t="s">
        <v>486</v>
      </c>
      <c r="B16" s="368"/>
      <c r="C16" s="368"/>
      <c r="D16" s="368"/>
      <c r="E16" s="368"/>
      <c r="F16" s="367"/>
      <c r="G16" s="398">
        <f>SUM(G14:G15)</f>
        <v>16139.4</v>
      </c>
      <c r="H16" s="394"/>
      <c r="I16" s="394"/>
      <c r="J16" s="394"/>
      <c r="K16" s="394"/>
      <c r="L16" s="394"/>
      <c r="M16" s="394"/>
      <c r="N16" s="394"/>
    </row>
    <row r="17" spans="1:14" s="281" customFormat="1" ht="16.5" customHeight="1">
      <c r="A17" s="366" t="s">
        <v>489</v>
      </c>
      <c r="B17" s="365"/>
      <c r="C17" s="365"/>
      <c r="D17" s="365"/>
      <c r="E17" s="365"/>
      <c r="F17" s="364"/>
      <c r="G17" s="397">
        <f>ROUND(G16*$H$8,2)</f>
        <v>4724</v>
      </c>
      <c r="H17" s="376"/>
      <c r="I17" s="376"/>
      <c r="J17" s="376"/>
      <c r="K17" s="376"/>
      <c r="L17" s="376"/>
      <c r="M17" s="376"/>
      <c r="N17" s="376"/>
    </row>
    <row r="18" spans="1:14" s="281" customFormat="1" ht="16.5" customHeight="1">
      <c r="A18" s="369" t="s">
        <v>487</v>
      </c>
      <c r="B18" s="368"/>
      <c r="C18" s="368"/>
      <c r="D18" s="368"/>
      <c r="E18" s="368"/>
      <c r="F18" s="367"/>
      <c r="G18" s="398">
        <f>SUM(G16:G17)</f>
        <v>20863.4</v>
      </c>
      <c r="H18" s="394"/>
      <c r="I18" s="394"/>
      <c r="J18" s="394"/>
      <c r="K18" s="394"/>
      <c r="L18" s="394"/>
      <c r="M18" s="394"/>
      <c r="N18" s="394"/>
    </row>
    <row r="19" spans="2:13" s="281" customFormat="1" ht="13.5">
      <c r="B19" s="284"/>
      <c r="E19" s="362"/>
      <c r="F19" s="362"/>
      <c r="G19" s="362"/>
      <c r="I19" s="362"/>
      <c r="J19" s="283"/>
      <c r="K19" s="282"/>
      <c r="L19" s="282"/>
      <c r="M19" s="282"/>
    </row>
    <row r="20" spans="1:9" s="272" customFormat="1" ht="31.5" customHeight="1">
      <c r="A20" s="390" t="str">
        <f>ORÇAMENTO!B14</f>
        <v>CPU</v>
      </c>
      <c r="B20" s="388" t="str">
        <f>ORÇAMENTO!C14</f>
        <v>02</v>
      </c>
      <c r="C20" s="252" t="str">
        <f>ORÇAMENTO!D14</f>
        <v>PLACA DE OBRA EM CHAPA DE ACO GALVANIZADO - FORNECIMENTO E INSTALAÇÃO.</v>
      </c>
      <c r="D20" s="252"/>
      <c r="E20" s="252"/>
      <c r="F20" s="391" t="s">
        <v>295</v>
      </c>
      <c r="G20" s="396" t="str">
        <f>ORÇAMENTO!E14</f>
        <v>M2</v>
      </c>
      <c r="I20" s="163" t="s">
        <v>295</v>
      </c>
    </row>
    <row r="21" spans="1:9" s="291" customFormat="1" ht="16.5" customHeight="1">
      <c r="A21" s="391" t="s">
        <v>296</v>
      </c>
      <c r="B21" s="392" t="s">
        <v>102</v>
      </c>
      <c r="C21" s="391" t="s">
        <v>36</v>
      </c>
      <c r="D21" s="399" t="s">
        <v>297</v>
      </c>
      <c r="E21" s="400" t="s">
        <v>26</v>
      </c>
      <c r="F21" s="393" t="s">
        <v>298</v>
      </c>
      <c r="G21" s="393" t="s">
        <v>10</v>
      </c>
      <c r="I21" s="393" t="s">
        <v>298</v>
      </c>
    </row>
    <row r="22" spans="1:14" ht="38.25">
      <c r="A22" s="370" t="s">
        <v>197</v>
      </c>
      <c r="B22" s="375" t="s">
        <v>198</v>
      </c>
      <c r="C22" s="371" t="s">
        <v>199</v>
      </c>
      <c r="D22" s="372" t="s">
        <v>304</v>
      </c>
      <c r="E22" s="373">
        <v>1</v>
      </c>
      <c r="F22" s="386">
        <f>ROUND(I22*$I$8,2)</f>
        <v>5.81</v>
      </c>
      <c r="G22" s="374">
        <f aca="true" t="shared" si="0" ref="G22:G28">ROUND(E22*F22,2)</f>
        <v>5.81</v>
      </c>
      <c r="H22" s="272"/>
      <c r="I22" s="386">
        <v>5.82</v>
      </c>
      <c r="J22" s="272"/>
      <c r="K22" s="272"/>
      <c r="L22" s="272"/>
      <c r="M22" s="272"/>
      <c r="N22" s="272"/>
    </row>
    <row r="23" spans="1:14" ht="25.5">
      <c r="A23" s="370" t="s">
        <v>197</v>
      </c>
      <c r="B23" s="375" t="s">
        <v>200</v>
      </c>
      <c r="C23" s="371" t="s">
        <v>201</v>
      </c>
      <c r="D23" s="372" t="s">
        <v>304</v>
      </c>
      <c r="E23" s="373">
        <v>4</v>
      </c>
      <c r="F23" s="386">
        <f aca="true" t="shared" si="1" ref="F23:F28">ROUND(I23*$I$8,2)</f>
        <v>9.47</v>
      </c>
      <c r="G23" s="374">
        <f t="shared" si="0"/>
        <v>37.88</v>
      </c>
      <c r="H23" s="272"/>
      <c r="I23" s="386">
        <v>9.49</v>
      </c>
      <c r="J23" s="272"/>
      <c r="K23" s="272"/>
      <c r="L23" s="272"/>
      <c r="M23" s="272"/>
      <c r="N23" s="272"/>
    </row>
    <row r="24" spans="1:14" ht="38.25">
      <c r="A24" s="370" t="s">
        <v>197</v>
      </c>
      <c r="B24" s="375" t="s">
        <v>202</v>
      </c>
      <c r="C24" s="371" t="s">
        <v>203</v>
      </c>
      <c r="D24" s="372" t="s">
        <v>176</v>
      </c>
      <c r="E24" s="373">
        <v>1</v>
      </c>
      <c r="F24" s="386">
        <f t="shared" si="1"/>
        <v>224.48</v>
      </c>
      <c r="G24" s="374">
        <f t="shared" si="0"/>
        <v>224.48</v>
      </c>
      <c r="H24" s="272"/>
      <c r="I24" s="386">
        <v>225</v>
      </c>
      <c r="J24" s="272"/>
      <c r="K24" s="272"/>
      <c r="L24" s="272"/>
      <c r="M24" s="272"/>
      <c r="N24" s="272"/>
    </row>
    <row r="25" spans="1:9" ht="27" customHeight="1">
      <c r="A25" s="164" t="s">
        <v>197</v>
      </c>
      <c r="B25" s="165" t="s">
        <v>204</v>
      </c>
      <c r="C25" s="166" t="s">
        <v>205</v>
      </c>
      <c r="D25" s="167" t="s">
        <v>305</v>
      </c>
      <c r="E25" s="168">
        <v>0.11</v>
      </c>
      <c r="F25" s="386">
        <f t="shared" si="1"/>
        <v>20.19</v>
      </c>
      <c r="G25" s="169">
        <f t="shared" si="0"/>
        <v>2.22</v>
      </c>
      <c r="I25" s="386">
        <v>20.24</v>
      </c>
    </row>
    <row r="26" spans="1:9" ht="27" customHeight="1">
      <c r="A26" s="164" t="s">
        <v>99</v>
      </c>
      <c r="B26" s="165" t="s">
        <v>206</v>
      </c>
      <c r="C26" s="166" t="s">
        <v>207</v>
      </c>
      <c r="D26" s="167" t="s">
        <v>103</v>
      </c>
      <c r="E26" s="168">
        <v>1</v>
      </c>
      <c r="F26" s="386">
        <f>ROUND(I26*$J$8,2)</f>
        <v>20.89</v>
      </c>
      <c r="G26" s="169">
        <f t="shared" si="0"/>
        <v>20.89</v>
      </c>
      <c r="I26" s="386">
        <v>21.07</v>
      </c>
    </row>
    <row r="27" spans="1:9" ht="27" customHeight="1">
      <c r="A27" s="164" t="s">
        <v>99</v>
      </c>
      <c r="B27" s="165" t="s">
        <v>208</v>
      </c>
      <c r="C27" s="166" t="s">
        <v>209</v>
      </c>
      <c r="D27" s="167" t="s">
        <v>103</v>
      </c>
      <c r="E27" s="168">
        <v>2</v>
      </c>
      <c r="F27" s="386">
        <f>ROUND(I27*$J$8,2)</f>
        <v>16.94</v>
      </c>
      <c r="G27" s="169">
        <f t="shared" si="0"/>
        <v>33.88</v>
      </c>
      <c r="I27" s="386">
        <v>17.09</v>
      </c>
    </row>
    <row r="28" spans="1:9" ht="38.25">
      <c r="A28" s="164" t="s">
        <v>99</v>
      </c>
      <c r="B28" s="165" t="s">
        <v>210</v>
      </c>
      <c r="C28" s="166" t="s">
        <v>211</v>
      </c>
      <c r="D28" s="167" t="s">
        <v>180</v>
      </c>
      <c r="E28" s="168">
        <v>0.01</v>
      </c>
      <c r="F28" s="386">
        <f t="shared" si="1"/>
        <v>387.74</v>
      </c>
      <c r="G28" s="169">
        <f t="shared" si="0"/>
        <v>3.88</v>
      </c>
      <c r="I28" s="386">
        <v>388.63</v>
      </c>
    </row>
    <row r="29" spans="1:14" s="281" customFormat="1" ht="16.5" customHeight="1">
      <c r="A29" s="366" t="s">
        <v>485</v>
      </c>
      <c r="B29" s="365"/>
      <c r="C29" s="365"/>
      <c r="D29" s="365"/>
      <c r="E29" s="365"/>
      <c r="F29" s="364"/>
      <c r="G29" s="397">
        <f>SUM(G22:G25,G28)</f>
        <v>274.27000000000004</v>
      </c>
      <c r="H29" s="376"/>
      <c r="I29" s="376"/>
      <c r="J29" s="376"/>
      <c r="K29" s="376"/>
      <c r="L29" s="376"/>
      <c r="M29" s="376"/>
      <c r="N29" s="376"/>
    </row>
    <row r="30" spans="1:14" s="281" customFormat="1" ht="16.5" customHeight="1">
      <c r="A30" s="366" t="s">
        <v>488</v>
      </c>
      <c r="B30" s="365"/>
      <c r="C30" s="365"/>
      <c r="D30" s="365"/>
      <c r="E30" s="365"/>
      <c r="F30" s="364"/>
      <c r="G30" s="397">
        <f>SUM(G26:G27)</f>
        <v>54.77</v>
      </c>
      <c r="H30" s="376"/>
      <c r="I30" s="376"/>
      <c r="J30" s="376"/>
      <c r="K30" s="376"/>
      <c r="L30" s="376"/>
      <c r="M30" s="376"/>
      <c r="N30" s="376"/>
    </row>
    <row r="31" spans="1:14" s="281" customFormat="1" ht="16.5" customHeight="1">
      <c r="A31" s="369" t="s">
        <v>486</v>
      </c>
      <c r="B31" s="368"/>
      <c r="C31" s="368"/>
      <c r="D31" s="368"/>
      <c r="E31" s="368"/>
      <c r="F31" s="367"/>
      <c r="G31" s="398">
        <f>SUM(G29:G30)</f>
        <v>329.04</v>
      </c>
      <c r="H31" s="394"/>
      <c r="I31" s="394"/>
      <c r="J31" s="394"/>
      <c r="K31" s="394"/>
      <c r="L31" s="394"/>
      <c r="M31" s="394"/>
      <c r="N31" s="394"/>
    </row>
    <row r="32" spans="1:14" s="281" customFormat="1" ht="16.5" customHeight="1">
      <c r="A32" s="366" t="s">
        <v>489</v>
      </c>
      <c r="B32" s="365"/>
      <c r="C32" s="365"/>
      <c r="D32" s="365"/>
      <c r="E32" s="365"/>
      <c r="F32" s="364"/>
      <c r="G32" s="397">
        <f>ROUND(G31*$H$8,2)</f>
        <v>96.31</v>
      </c>
      <c r="H32" s="376"/>
      <c r="I32" s="376"/>
      <c r="J32" s="376"/>
      <c r="K32" s="376"/>
      <c r="L32" s="376"/>
      <c r="M32" s="376"/>
      <c r="N32" s="376"/>
    </row>
    <row r="33" spans="1:14" s="281" customFormat="1" ht="16.5" customHeight="1">
      <c r="A33" s="369" t="s">
        <v>487</v>
      </c>
      <c r="B33" s="368"/>
      <c r="C33" s="368"/>
      <c r="D33" s="368"/>
      <c r="E33" s="368"/>
      <c r="F33" s="367"/>
      <c r="G33" s="398">
        <f>SUM(G31:G32)</f>
        <v>425.35</v>
      </c>
      <c r="H33" s="394"/>
      <c r="I33" s="394"/>
      <c r="J33" s="394"/>
      <c r="K33" s="394"/>
      <c r="L33" s="394"/>
      <c r="M33" s="394"/>
      <c r="N33" s="394"/>
    </row>
    <row r="34" spans="2:13" s="281" customFormat="1" ht="13.5">
      <c r="B34" s="284"/>
      <c r="E34" s="362"/>
      <c r="F34" s="362"/>
      <c r="G34" s="362"/>
      <c r="I34" s="362"/>
      <c r="J34" s="283"/>
      <c r="K34" s="282"/>
      <c r="L34" s="282"/>
      <c r="M34" s="282"/>
    </row>
    <row r="35" spans="1:9" s="272" customFormat="1" ht="44.25" customHeight="1">
      <c r="A35" s="390" t="str">
        <f>ORÇAMENTO!B16</f>
        <v>SINAPI</v>
      </c>
      <c r="B35" s="388" t="str">
        <f>ORÇAMENTO!C16</f>
        <v>99833</v>
      </c>
      <c r="C35" s="252" t="str">
        <f>ORÇAMENTO!D16</f>
        <v>LAVADORA DE ALTA PRESSAO (LAVA-JATO) PARA AGUA FRIA, PRESSAO DE OPERACAO ENTRE 1400 E 1900 LIB/POL2, VAZAO MAXIMA ENTRE 400 E 700 L/H - CHP DIURNO. AF_04/2019</v>
      </c>
      <c r="D35" s="252"/>
      <c r="E35" s="252"/>
      <c r="F35" s="391" t="s">
        <v>295</v>
      </c>
      <c r="G35" s="396" t="str">
        <f>ORÇAMENTO!E16</f>
        <v>CHP</v>
      </c>
      <c r="H35" s="310">
        <f>ORÇAMENTO!L16</f>
        <v>5.18</v>
      </c>
      <c r="I35" s="163" t="s">
        <v>295</v>
      </c>
    </row>
    <row r="36" spans="1:9" s="291" customFormat="1" ht="16.5" customHeight="1">
      <c r="A36" s="391" t="s">
        <v>296</v>
      </c>
      <c r="B36" s="392" t="s">
        <v>102</v>
      </c>
      <c r="C36" s="391" t="s">
        <v>36</v>
      </c>
      <c r="D36" s="399" t="s">
        <v>297</v>
      </c>
      <c r="E36" s="400" t="s">
        <v>26</v>
      </c>
      <c r="F36" s="393" t="s">
        <v>298</v>
      </c>
      <c r="G36" s="393" t="s">
        <v>10</v>
      </c>
      <c r="I36" s="393" t="s">
        <v>298</v>
      </c>
    </row>
    <row r="37" spans="1:9" s="272" customFormat="1" ht="51">
      <c r="A37" s="382" t="s">
        <v>99</v>
      </c>
      <c r="B37" s="389" t="s">
        <v>492</v>
      </c>
      <c r="C37" s="383" t="s">
        <v>493</v>
      </c>
      <c r="D37" s="384" t="s">
        <v>103</v>
      </c>
      <c r="E37" s="385">
        <v>1</v>
      </c>
      <c r="F37" s="386">
        <f>ROUND(I37*$I$8,2)</f>
        <v>0.16</v>
      </c>
      <c r="G37" s="387">
        <f>ROUND(E37*F37,2)</f>
        <v>0.16</v>
      </c>
      <c r="I37" s="386">
        <v>0.16</v>
      </c>
    </row>
    <row r="38" spans="1:9" s="272" customFormat="1" ht="51">
      <c r="A38" s="382" t="s">
        <v>99</v>
      </c>
      <c r="B38" s="389" t="s">
        <v>494</v>
      </c>
      <c r="C38" s="383" t="s">
        <v>495</v>
      </c>
      <c r="D38" s="384" t="s">
        <v>103</v>
      </c>
      <c r="E38" s="385">
        <v>1</v>
      </c>
      <c r="F38" s="386">
        <f>ROUND(I38*$I$8,2)</f>
        <v>0.01</v>
      </c>
      <c r="G38" s="387">
        <f>ROUND(E38*F38,2)</f>
        <v>0.01</v>
      </c>
      <c r="I38" s="386">
        <v>0.01</v>
      </c>
    </row>
    <row r="39" spans="1:9" s="272" customFormat="1" ht="51">
      <c r="A39" s="382" t="s">
        <v>99</v>
      </c>
      <c r="B39" s="389" t="s">
        <v>496</v>
      </c>
      <c r="C39" s="383" t="s">
        <v>497</v>
      </c>
      <c r="D39" s="384" t="s">
        <v>103</v>
      </c>
      <c r="E39" s="385">
        <v>1</v>
      </c>
      <c r="F39" s="386">
        <f>ROUND(I39*$I$8,2)</f>
        <v>0.2</v>
      </c>
      <c r="G39" s="387">
        <f>ROUND(E39*F39,2)</f>
        <v>0.2</v>
      </c>
      <c r="I39" s="386">
        <v>0.2</v>
      </c>
    </row>
    <row r="40" spans="1:9" s="272" customFormat="1" ht="51">
      <c r="A40" s="382" t="s">
        <v>99</v>
      </c>
      <c r="B40" s="389" t="s">
        <v>498</v>
      </c>
      <c r="C40" s="383" t="s">
        <v>499</v>
      </c>
      <c r="D40" s="384" t="s">
        <v>103</v>
      </c>
      <c r="E40" s="385">
        <v>1</v>
      </c>
      <c r="F40" s="386">
        <f>ROUND(I40*$I$8,2)</f>
        <v>4.8</v>
      </c>
      <c r="G40" s="387">
        <f>ROUND(E40*F40,2)</f>
        <v>4.8</v>
      </c>
      <c r="I40" s="386">
        <v>4.81</v>
      </c>
    </row>
    <row r="41" spans="1:14" s="281" customFormat="1" ht="16.5" customHeight="1">
      <c r="A41" s="366" t="s">
        <v>485</v>
      </c>
      <c r="B41" s="365"/>
      <c r="C41" s="365"/>
      <c r="D41" s="365"/>
      <c r="E41" s="365"/>
      <c r="F41" s="364"/>
      <c r="G41" s="397">
        <f>SUM(G37:G40)</f>
        <v>5.17</v>
      </c>
      <c r="H41" s="376"/>
      <c r="I41" s="376"/>
      <c r="J41" s="376"/>
      <c r="K41" s="376"/>
      <c r="L41" s="376"/>
      <c r="M41" s="376"/>
      <c r="N41" s="376"/>
    </row>
    <row r="42" spans="1:14" s="281" customFormat="1" ht="16.5" customHeight="1">
      <c r="A42" s="366" t="s">
        <v>488</v>
      </c>
      <c r="B42" s="365"/>
      <c r="C42" s="365"/>
      <c r="D42" s="365"/>
      <c r="E42" s="365"/>
      <c r="F42" s="364"/>
      <c r="G42" s="397">
        <v>0</v>
      </c>
      <c r="H42" s="376"/>
      <c r="I42" s="376"/>
      <c r="J42" s="376"/>
      <c r="K42" s="376"/>
      <c r="L42" s="376"/>
      <c r="M42" s="376"/>
      <c r="N42" s="376"/>
    </row>
    <row r="43" spans="1:14" s="281" customFormat="1" ht="16.5" customHeight="1">
      <c r="A43" s="369" t="s">
        <v>486</v>
      </c>
      <c r="B43" s="368"/>
      <c r="C43" s="368"/>
      <c r="D43" s="368"/>
      <c r="E43" s="368"/>
      <c r="F43" s="367"/>
      <c r="G43" s="398">
        <f>SUM(G41:G42)</f>
        <v>5.17</v>
      </c>
      <c r="H43" s="394"/>
      <c r="I43" s="394"/>
      <c r="J43" s="394"/>
      <c r="K43" s="394"/>
      <c r="L43" s="394"/>
      <c r="M43" s="394"/>
      <c r="N43" s="394"/>
    </row>
    <row r="44" spans="1:14" s="281" customFormat="1" ht="16.5" customHeight="1">
      <c r="A44" s="366" t="s">
        <v>489</v>
      </c>
      <c r="B44" s="365"/>
      <c r="C44" s="365"/>
      <c r="D44" s="365"/>
      <c r="E44" s="365"/>
      <c r="F44" s="364"/>
      <c r="G44" s="397">
        <f>ROUND(G43*$H$8,2)</f>
        <v>1.51</v>
      </c>
      <c r="H44" s="376"/>
      <c r="I44" s="376"/>
      <c r="J44" s="376"/>
      <c r="K44" s="376"/>
      <c r="L44" s="376"/>
      <c r="M44" s="376"/>
      <c r="N44" s="376"/>
    </row>
    <row r="45" spans="1:14" s="281" customFormat="1" ht="16.5" customHeight="1">
      <c r="A45" s="369" t="s">
        <v>487</v>
      </c>
      <c r="B45" s="368"/>
      <c r="C45" s="368"/>
      <c r="D45" s="368"/>
      <c r="E45" s="368"/>
      <c r="F45" s="367"/>
      <c r="G45" s="398">
        <f>SUM(G43:G44)</f>
        <v>6.68</v>
      </c>
      <c r="H45" s="394"/>
      <c r="I45" s="394"/>
      <c r="J45" s="394"/>
      <c r="K45" s="394"/>
      <c r="L45" s="394"/>
      <c r="M45" s="394"/>
      <c r="N45" s="394"/>
    </row>
    <row r="46" spans="2:13" s="281" customFormat="1" ht="13.5">
      <c r="B46" s="284"/>
      <c r="E46" s="362"/>
      <c r="F46" s="362"/>
      <c r="G46" s="362"/>
      <c r="I46" s="362"/>
      <c r="J46" s="283"/>
      <c r="K46" s="282"/>
      <c r="L46" s="282"/>
      <c r="M46" s="282"/>
    </row>
    <row r="47" spans="1:9" s="272" customFormat="1" ht="36" customHeight="1">
      <c r="A47" s="390" t="str">
        <f>ORÇAMENTO!B17</f>
        <v>CPU</v>
      </c>
      <c r="B47" s="388" t="str">
        <f>ORÇAMENTO!C17</f>
        <v>03</v>
      </c>
      <c r="C47" s="252" t="str">
        <f>ORÇAMENTO!D17</f>
        <v>RETIRADA DE PISO CIMENTADO</v>
      </c>
      <c r="D47" s="252"/>
      <c r="E47" s="252"/>
      <c r="F47" s="391" t="s">
        <v>295</v>
      </c>
      <c r="G47" s="396" t="str">
        <f>ORÇAMENTO!E17</f>
        <v>M2</v>
      </c>
      <c r="H47" s="310">
        <f>ORÇAMENTO!L17</f>
        <v>9.719999999999999</v>
      </c>
      <c r="I47" s="163" t="s">
        <v>295</v>
      </c>
    </row>
    <row r="48" spans="1:9" s="291" customFormat="1" ht="16.5" customHeight="1">
      <c r="A48" s="391" t="s">
        <v>296</v>
      </c>
      <c r="B48" s="392" t="s">
        <v>102</v>
      </c>
      <c r="C48" s="391" t="s">
        <v>36</v>
      </c>
      <c r="D48" s="399" t="s">
        <v>297</v>
      </c>
      <c r="E48" s="400" t="s">
        <v>26</v>
      </c>
      <c r="F48" s="393" t="s">
        <v>298</v>
      </c>
      <c r="G48" s="393" t="s">
        <v>10</v>
      </c>
      <c r="I48" s="393" t="s">
        <v>298</v>
      </c>
    </row>
    <row r="49" spans="1:9" ht="12.75">
      <c r="A49" s="164" t="s">
        <v>99</v>
      </c>
      <c r="B49" s="165" t="s">
        <v>208</v>
      </c>
      <c r="C49" s="166" t="s">
        <v>209</v>
      </c>
      <c r="D49" s="167" t="s">
        <v>103</v>
      </c>
      <c r="E49" s="168">
        <v>0.07</v>
      </c>
      <c r="F49" s="386">
        <f>ROUND(I49*$J$8,2)</f>
        <v>16.94</v>
      </c>
      <c r="G49" s="169">
        <f>ROUND(E49*F49,2)</f>
        <v>1.19</v>
      </c>
      <c r="I49" s="386">
        <v>17.09</v>
      </c>
    </row>
    <row r="50" spans="1:9" ht="12.75">
      <c r="A50" s="164" t="s">
        <v>99</v>
      </c>
      <c r="B50" s="165" t="s">
        <v>448</v>
      </c>
      <c r="C50" s="166" t="s">
        <v>449</v>
      </c>
      <c r="D50" s="167" t="s">
        <v>103</v>
      </c>
      <c r="E50" s="168">
        <v>0.4</v>
      </c>
      <c r="F50" s="386">
        <f>ROUND(I50*$J$8,2)</f>
        <v>21.13</v>
      </c>
      <c r="G50" s="169">
        <f>ROUND(E50*F50,2)</f>
        <v>8.45</v>
      </c>
      <c r="I50" s="386">
        <v>21.31</v>
      </c>
    </row>
    <row r="51" spans="1:14" s="281" customFormat="1" ht="16.5" customHeight="1">
      <c r="A51" s="366" t="s">
        <v>485</v>
      </c>
      <c r="B51" s="365"/>
      <c r="C51" s="365"/>
      <c r="D51" s="365"/>
      <c r="E51" s="365"/>
      <c r="F51" s="364"/>
      <c r="G51" s="397">
        <v>0</v>
      </c>
      <c r="H51" s="376"/>
      <c r="I51" s="376"/>
      <c r="J51" s="376"/>
      <c r="K51" s="376"/>
      <c r="L51" s="376"/>
      <c r="M51" s="376"/>
      <c r="N51" s="376"/>
    </row>
    <row r="52" spans="1:14" s="281" customFormat="1" ht="16.5" customHeight="1">
      <c r="A52" s="366" t="s">
        <v>488</v>
      </c>
      <c r="B52" s="365"/>
      <c r="C52" s="365"/>
      <c r="D52" s="365"/>
      <c r="E52" s="365"/>
      <c r="F52" s="364"/>
      <c r="G52" s="397">
        <f>SUM(G49:G50)</f>
        <v>9.639999999999999</v>
      </c>
      <c r="H52" s="376"/>
      <c r="I52" s="376"/>
      <c r="J52" s="376"/>
      <c r="K52" s="376"/>
      <c r="L52" s="376"/>
      <c r="M52" s="376"/>
      <c r="N52" s="376"/>
    </row>
    <row r="53" spans="1:14" s="281" customFormat="1" ht="16.5" customHeight="1">
      <c r="A53" s="369" t="s">
        <v>486</v>
      </c>
      <c r="B53" s="368"/>
      <c r="C53" s="368"/>
      <c r="D53" s="368"/>
      <c r="E53" s="368"/>
      <c r="F53" s="367"/>
      <c r="G53" s="398">
        <f>SUM(G51:G52)</f>
        <v>9.639999999999999</v>
      </c>
      <c r="H53" s="394"/>
      <c r="I53" s="394"/>
      <c r="J53" s="394"/>
      <c r="K53" s="394"/>
      <c r="L53" s="394"/>
      <c r="M53" s="394"/>
      <c r="N53" s="394"/>
    </row>
    <row r="54" spans="1:14" s="281" customFormat="1" ht="16.5" customHeight="1">
      <c r="A54" s="366" t="s">
        <v>489</v>
      </c>
      <c r="B54" s="365"/>
      <c r="C54" s="365"/>
      <c r="D54" s="365"/>
      <c r="E54" s="365"/>
      <c r="F54" s="364"/>
      <c r="G54" s="397">
        <f>ROUND(G53*$H$8,2)</f>
        <v>2.82</v>
      </c>
      <c r="H54" s="376"/>
      <c r="I54" s="376"/>
      <c r="J54" s="376"/>
      <c r="K54" s="376"/>
      <c r="L54" s="376"/>
      <c r="M54" s="376"/>
      <c r="N54" s="376"/>
    </row>
    <row r="55" spans="1:14" s="281" customFormat="1" ht="16.5" customHeight="1">
      <c r="A55" s="369" t="s">
        <v>487</v>
      </c>
      <c r="B55" s="368"/>
      <c r="C55" s="368"/>
      <c r="D55" s="368"/>
      <c r="E55" s="368"/>
      <c r="F55" s="367"/>
      <c r="G55" s="398">
        <f>SUM(G53:G54)</f>
        <v>12.459999999999999</v>
      </c>
      <c r="H55" s="394"/>
      <c r="I55" s="394"/>
      <c r="J55" s="394"/>
      <c r="K55" s="394"/>
      <c r="L55" s="394"/>
      <c r="M55" s="394"/>
      <c r="N55" s="394"/>
    </row>
    <row r="56" spans="2:13" s="281" customFormat="1" ht="13.5">
      <c r="B56" s="284"/>
      <c r="E56" s="362"/>
      <c r="F56" s="362"/>
      <c r="G56" s="362"/>
      <c r="I56" s="362"/>
      <c r="J56" s="283"/>
      <c r="K56" s="282"/>
      <c r="L56" s="282"/>
      <c r="M56" s="282"/>
    </row>
    <row r="57" spans="1:9" s="272" customFormat="1" ht="44.25" customHeight="1">
      <c r="A57" s="390" t="str">
        <f>ORÇAMENTO!B18</f>
        <v>SINAPI</v>
      </c>
      <c r="B57" s="388" t="str">
        <f>ORÇAMENTO!C18</f>
        <v>100331</v>
      </c>
      <c r="C57" s="252" t="str">
        <f>ORÇAMENTO!D18</f>
        <v>RETIRADA E RECOLOCAÇÃO DE  TELHA CERÂMICA CAPA-CANAL, COM MAIS DE DUAS ÁGUAS, INCLUSO IÇAMENTO. AF_07/2019</v>
      </c>
      <c r="D57" s="252"/>
      <c r="E57" s="252"/>
      <c r="F57" s="391" t="s">
        <v>295</v>
      </c>
      <c r="G57" s="396" t="str">
        <f>ORÇAMENTO!E18</f>
        <v>M2</v>
      </c>
      <c r="H57" s="310">
        <f>ORÇAMENTO!L18</f>
        <v>20.23</v>
      </c>
      <c r="I57" s="163" t="s">
        <v>295</v>
      </c>
    </row>
    <row r="58" spans="1:9" s="291" customFormat="1" ht="16.5" customHeight="1">
      <c r="A58" s="391" t="s">
        <v>296</v>
      </c>
      <c r="B58" s="392" t="s">
        <v>102</v>
      </c>
      <c r="C58" s="391" t="s">
        <v>36</v>
      </c>
      <c r="D58" s="399" t="s">
        <v>297</v>
      </c>
      <c r="E58" s="400" t="s">
        <v>26</v>
      </c>
      <c r="F58" s="393" t="s">
        <v>298</v>
      </c>
      <c r="G58" s="393" t="s">
        <v>10</v>
      </c>
      <c r="I58" s="393" t="s">
        <v>298</v>
      </c>
    </row>
    <row r="59" spans="1:9" s="272" customFormat="1" ht="51">
      <c r="A59" s="382" t="s">
        <v>197</v>
      </c>
      <c r="B59" s="389" t="s">
        <v>500</v>
      </c>
      <c r="C59" s="383" t="s">
        <v>501</v>
      </c>
      <c r="D59" s="384" t="s">
        <v>502</v>
      </c>
      <c r="E59" s="385">
        <v>0.0055</v>
      </c>
      <c r="F59" s="386">
        <f>ROUND(I59*$I$8,2)</f>
        <v>1197.24</v>
      </c>
      <c r="G59" s="387">
        <f>ROUND(E59*F59,2)</f>
        <v>6.58</v>
      </c>
      <c r="I59" s="386">
        <v>1200</v>
      </c>
    </row>
    <row r="60" spans="1:9" s="272" customFormat="1" ht="12.75">
      <c r="A60" s="382" t="s">
        <v>99</v>
      </c>
      <c r="B60" s="389" t="s">
        <v>208</v>
      </c>
      <c r="C60" s="383" t="s">
        <v>209</v>
      </c>
      <c r="D60" s="384" t="s">
        <v>103</v>
      </c>
      <c r="E60" s="385">
        <v>0.407</v>
      </c>
      <c r="F60" s="386">
        <f>ROUND(I60*$J$8,2)</f>
        <v>16.94</v>
      </c>
      <c r="G60" s="387">
        <f>ROUND(E60*F60,2)</f>
        <v>6.89</v>
      </c>
      <c r="I60" s="386">
        <v>17.09</v>
      </c>
    </row>
    <row r="61" spans="1:9" s="272" customFormat="1" ht="12.75">
      <c r="A61" s="382" t="s">
        <v>99</v>
      </c>
      <c r="B61" s="389" t="s">
        <v>503</v>
      </c>
      <c r="C61" s="383" t="s">
        <v>504</v>
      </c>
      <c r="D61" s="384" t="s">
        <v>103</v>
      </c>
      <c r="E61" s="385">
        <v>0.305</v>
      </c>
      <c r="F61" s="386">
        <f>ROUND(I61*$J$8,2)</f>
        <v>20.7</v>
      </c>
      <c r="G61" s="387">
        <f>ROUND(E61*F61,2)</f>
        <v>6.31</v>
      </c>
      <c r="I61" s="386">
        <v>20.88</v>
      </c>
    </row>
    <row r="62" spans="1:9" s="272" customFormat="1" ht="38.25">
      <c r="A62" s="382" t="s">
        <v>99</v>
      </c>
      <c r="B62" s="389" t="s">
        <v>505</v>
      </c>
      <c r="C62" s="383" t="s">
        <v>506</v>
      </c>
      <c r="D62" s="384" t="s">
        <v>213</v>
      </c>
      <c r="E62" s="385">
        <v>0.0074</v>
      </c>
      <c r="F62" s="386">
        <f>ROUND(I62*$I$8,2)</f>
        <v>19.5</v>
      </c>
      <c r="G62" s="387">
        <f>ROUND(E62*F62,2)</f>
        <v>0.14</v>
      </c>
      <c r="I62" s="386">
        <v>19.54</v>
      </c>
    </row>
    <row r="63" spans="1:9" s="272" customFormat="1" ht="38.25">
      <c r="A63" s="382" t="s">
        <v>99</v>
      </c>
      <c r="B63" s="389" t="s">
        <v>507</v>
      </c>
      <c r="C63" s="383" t="s">
        <v>508</v>
      </c>
      <c r="D63" s="384" t="s">
        <v>509</v>
      </c>
      <c r="E63" s="385">
        <v>0.0103</v>
      </c>
      <c r="F63" s="386">
        <f>ROUND(I63*$I$8,2)</f>
        <v>18.37</v>
      </c>
      <c r="G63" s="387">
        <f>ROUND(E63*F63,2)</f>
        <v>0.19</v>
      </c>
      <c r="I63" s="386">
        <v>18.41</v>
      </c>
    </row>
    <row r="64" spans="1:14" s="281" customFormat="1" ht="16.5" customHeight="1">
      <c r="A64" s="366" t="s">
        <v>485</v>
      </c>
      <c r="B64" s="365"/>
      <c r="C64" s="365"/>
      <c r="D64" s="365"/>
      <c r="E64" s="365"/>
      <c r="F64" s="364"/>
      <c r="G64" s="397">
        <f>SUM(G59,G62:G63)</f>
        <v>6.91</v>
      </c>
      <c r="H64" s="376"/>
      <c r="I64" s="376"/>
      <c r="J64" s="376"/>
      <c r="K64" s="376"/>
      <c r="L64" s="376"/>
      <c r="M64" s="376"/>
      <c r="N64" s="376"/>
    </row>
    <row r="65" spans="1:14" s="281" customFormat="1" ht="16.5" customHeight="1">
      <c r="A65" s="366" t="s">
        <v>488</v>
      </c>
      <c r="B65" s="365"/>
      <c r="C65" s="365"/>
      <c r="D65" s="365"/>
      <c r="E65" s="365"/>
      <c r="F65" s="364"/>
      <c r="G65" s="397">
        <f>SUM(G60:G61)</f>
        <v>13.2</v>
      </c>
      <c r="H65" s="376"/>
      <c r="I65" s="376"/>
      <c r="J65" s="376"/>
      <c r="K65" s="376"/>
      <c r="L65" s="376"/>
      <c r="M65" s="376"/>
      <c r="N65" s="376"/>
    </row>
    <row r="66" spans="1:14" s="281" customFormat="1" ht="16.5" customHeight="1">
      <c r="A66" s="369" t="s">
        <v>486</v>
      </c>
      <c r="B66" s="368"/>
      <c r="C66" s="368"/>
      <c r="D66" s="368"/>
      <c r="E66" s="368"/>
      <c r="F66" s="367"/>
      <c r="G66" s="398">
        <f>SUM(G64:G65)</f>
        <v>20.11</v>
      </c>
      <c r="H66" s="394"/>
      <c r="I66" s="394"/>
      <c r="J66" s="394"/>
      <c r="K66" s="394"/>
      <c r="L66" s="394"/>
      <c r="M66" s="394"/>
      <c r="N66" s="394"/>
    </row>
    <row r="67" spans="1:14" s="281" customFormat="1" ht="16.5" customHeight="1">
      <c r="A67" s="366" t="s">
        <v>489</v>
      </c>
      <c r="B67" s="365"/>
      <c r="C67" s="365"/>
      <c r="D67" s="365"/>
      <c r="E67" s="365"/>
      <c r="F67" s="364"/>
      <c r="G67" s="397">
        <f>ROUND(G66*$H$8,2)</f>
        <v>5.89</v>
      </c>
      <c r="H67" s="376"/>
      <c r="I67" s="376"/>
      <c r="J67" s="376"/>
      <c r="K67" s="376"/>
      <c r="L67" s="376"/>
      <c r="M67" s="376"/>
      <c r="N67" s="376"/>
    </row>
    <row r="68" spans="1:14" s="281" customFormat="1" ht="16.5" customHeight="1">
      <c r="A68" s="369" t="s">
        <v>487</v>
      </c>
      <c r="B68" s="368"/>
      <c r="C68" s="368"/>
      <c r="D68" s="368"/>
      <c r="E68" s="368"/>
      <c r="F68" s="367"/>
      <c r="G68" s="398">
        <f>SUM(G66:G67)</f>
        <v>26</v>
      </c>
      <c r="H68" s="394"/>
      <c r="I68" s="394"/>
      <c r="J68" s="394"/>
      <c r="K68" s="394"/>
      <c r="L68" s="394"/>
      <c r="M68" s="394"/>
      <c r="N68" s="394"/>
    </row>
    <row r="69" spans="2:13" s="281" customFormat="1" ht="13.5">
      <c r="B69" s="284"/>
      <c r="E69" s="362"/>
      <c r="F69" s="362"/>
      <c r="G69" s="362"/>
      <c r="I69" s="362"/>
      <c r="J69" s="283"/>
      <c r="K69" s="282"/>
      <c r="L69" s="282"/>
      <c r="M69" s="282"/>
    </row>
    <row r="70" spans="1:9" s="272" customFormat="1" ht="44.25" customHeight="1">
      <c r="A70" s="390" t="str">
        <f>ORÇAMENTO!B19</f>
        <v>SINAPI</v>
      </c>
      <c r="B70" s="388" t="str">
        <f>ORÇAMENTO!C19</f>
        <v>100395</v>
      </c>
      <c r="C70" s="252" t="str">
        <f>ORÇAMENTO!D19</f>
        <v>RETIRADA E RECOLOCAÇÃO DE CAIBRO EM TELHADOS DE MAIS DE 2 ÁGUAS COM TELHA CERÂMICA CAPA-CANAL, INCLUSO TRANSPORTE VERTICAL. AF_07/2019</v>
      </c>
      <c r="D70" s="252"/>
      <c r="E70" s="252"/>
      <c r="F70" s="391" t="s">
        <v>295</v>
      </c>
      <c r="G70" s="396" t="str">
        <f>ORÇAMENTO!E19</f>
        <v>M2</v>
      </c>
      <c r="H70" s="310">
        <f>ORÇAMENTO!L19</f>
        <v>18.95</v>
      </c>
      <c r="I70" s="163" t="s">
        <v>295</v>
      </c>
    </row>
    <row r="71" spans="1:9" s="291" customFormat="1" ht="16.5" customHeight="1">
      <c r="A71" s="391" t="s">
        <v>296</v>
      </c>
      <c r="B71" s="392" t="s">
        <v>102</v>
      </c>
      <c r="C71" s="391" t="s">
        <v>36</v>
      </c>
      <c r="D71" s="399" t="s">
        <v>297</v>
      </c>
      <c r="E71" s="400" t="s">
        <v>26</v>
      </c>
      <c r="F71" s="393" t="s">
        <v>298</v>
      </c>
      <c r="G71" s="393" t="s">
        <v>10</v>
      </c>
      <c r="I71" s="393" t="s">
        <v>298</v>
      </c>
    </row>
    <row r="72" spans="1:9" s="272" customFormat="1" ht="38.25">
      <c r="A72" s="382" t="s">
        <v>197</v>
      </c>
      <c r="B72" s="389" t="s">
        <v>510</v>
      </c>
      <c r="C72" s="383" t="s">
        <v>511</v>
      </c>
      <c r="D72" s="384" t="s">
        <v>304</v>
      </c>
      <c r="E72" s="385">
        <v>0.472</v>
      </c>
      <c r="F72" s="386">
        <f aca="true" t="shared" si="2" ref="F72:F77">ROUND(I72*$I$8,2)</f>
        <v>10.69</v>
      </c>
      <c r="G72" s="387">
        <f aca="true" t="shared" si="3" ref="G72:G77">ROUND(E72*F72,2)</f>
        <v>5.05</v>
      </c>
      <c r="I72" s="386">
        <v>10.71</v>
      </c>
    </row>
    <row r="73" spans="1:9" s="272" customFormat="1" ht="25.5">
      <c r="A73" s="382" t="s">
        <v>197</v>
      </c>
      <c r="B73" s="389" t="s">
        <v>512</v>
      </c>
      <c r="C73" s="383" t="s">
        <v>513</v>
      </c>
      <c r="D73" s="384" t="s">
        <v>305</v>
      </c>
      <c r="E73" s="385">
        <v>0.05</v>
      </c>
      <c r="F73" s="386">
        <f t="shared" si="2"/>
        <v>20.17</v>
      </c>
      <c r="G73" s="387">
        <f t="shared" si="3"/>
        <v>1.01</v>
      </c>
      <c r="I73" s="386">
        <v>20.22</v>
      </c>
    </row>
    <row r="74" spans="1:9" s="272" customFormat="1" ht="25.5">
      <c r="A74" s="382" t="s">
        <v>99</v>
      </c>
      <c r="B74" s="389" t="s">
        <v>514</v>
      </c>
      <c r="C74" s="383" t="s">
        <v>515</v>
      </c>
      <c r="D74" s="384" t="s">
        <v>103</v>
      </c>
      <c r="E74" s="385">
        <v>0.262</v>
      </c>
      <c r="F74" s="386">
        <f>ROUND(I74*$J$8,2)</f>
        <v>17.26</v>
      </c>
      <c r="G74" s="387">
        <f t="shared" si="3"/>
        <v>4.52</v>
      </c>
      <c r="I74" s="386">
        <v>17.41</v>
      </c>
    </row>
    <row r="75" spans="1:9" s="272" customFormat="1" ht="25.5">
      <c r="A75" s="382" t="s">
        <v>99</v>
      </c>
      <c r="B75" s="389" t="s">
        <v>206</v>
      </c>
      <c r="C75" s="383" t="s">
        <v>207</v>
      </c>
      <c r="D75" s="384" t="s">
        <v>103</v>
      </c>
      <c r="E75" s="385">
        <v>0.389</v>
      </c>
      <c r="F75" s="386">
        <f>ROUND(I75*$J$8,2)</f>
        <v>20.89</v>
      </c>
      <c r="G75" s="387">
        <f t="shared" si="3"/>
        <v>8.13</v>
      </c>
      <c r="I75" s="386">
        <v>21.07</v>
      </c>
    </row>
    <row r="76" spans="1:9" s="272" customFormat="1" ht="38.25">
      <c r="A76" s="382" t="s">
        <v>99</v>
      </c>
      <c r="B76" s="389" t="s">
        <v>505</v>
      </c>
      <c r="C76" s="383" t="s">
        <v>506</v>
      </c>
      <c r="D76" s="384" t="s">
        <v>213</v>
      </c>
      <c r="E76" s="385">
        <v>0.0034</v>
      </c>
      <c r="F76" s="386">
        <f t="shared" si="2"/>
        <v>19.5</v>
      </c>
      <c r="G76" s="387">
        <f t="shared" si="3"/>
        <v>0.07</v>
      </c>
      <c r="I76" s="386">
        <v>19.54</v>
      </c>
    </row>
    <row r="77" spans="1:9" s="272" customFormat="1" ht="38.25">
      <c r="A77" s="382" t="s">
        <v>99</v>
      </c>
      <c r="B77" s="389" t="s">
        <v>507</v>
      </c>
      <c r="C77" s="383" t="s">
        <v>508</v>
      </c>
      <c r="D77" s="384" t="s">
        <v>509</v>
      </c>
      <c r="E77" s="385">
        <v>0.0048</v>
      </c>
      <c r="F77" s="386">
        <f t="shared" si="2"/>
        <v>18.37</v>
      </c>
      <c r="G77" s="387">
        <f t="shared" si="3"/>
        <v>0.09</v>
      </c>
      <c r="I77" s="386">
        <v>18.41</v>
      </c>
    </row>
    <row r="78" spans="1:14" s="281" customFormat="1" ht="16.5" customHeight="1">
      <c r="A78" s="366" t="s">
        <v>485</v>
      </c>
      <c r="B78" s="365"/>
      <c r="C78" s="365"/>
      <c r="D78" s="365"/>
      <c r="E78" s="365"/>
      <c r="F78" s="364"/>
      <c r="G78" s="397">
        <f>SUM(G72:G73,G76:G77)</f>
        <v>6.22</v>
      </c>
      <c r="H78" s="376"/>
      <c r="I78" s="376"/>
      <c r="J78" s="376"/>
      <c r="K78" s="376"/>
      <c r="L78" s="376"/>
      <c r="M78" s="376"/>
      <c r="N78" s="376"/>
    </row>
    <row r="79" spans="1:14" s="281" customFormat="1" ht="16.5" customHeight="1">
      <c r="A79" s="366" t="s">
        <v>488</v>
      </c>
      <c r="B79" s="365"/>
      <c r="C79" s="365"/>
      <c r="D79" s="365"/>
      <c r="E79" s="365"/>
      <c r="F79" s="364"/>
      <c r="G79" s="397">
        <f>SUM(G74:G75)</f>
        <v>12.65</v>
      </c>
      <c r="H79" s="376"/>
      <c r="I79" s="376"/>
      <c r="J79" s="376"/>
      <c r="K79" s="376"/>
      <c r="L79" s="376"/>
      <c r="M79" s="376"/>
      <c r="N79" s="376"/>
    </row>
    <row r="80" spans="1:14" s="281" customFormat="1" ht="16.5" customHeight="1">
      <c r="A80" s="369" t="s">
        <v>486</v>
      </c>
      <c r="B80" s="368"/>
      <c r="C80" s="368"/>
      <c r="D80" s="368"/>
      <c r="E80" s="368"/>
      <c r="F80" s="367"/>
      <c r="G80" s="398">
        <f>SUM(G78:G79)</f>
        <v>18.87</v>
      </c>
      <c r="H80" s="394"/>
      <c r="I80" s="394"/>
      <c r="J80" s="394"/>
      <c r="K80" s="394"/>
      <c r="L80" s="394"/>
      <c r="M80" s="394"/>
      <c r="N80" s="394"/>
    </row>
    <row r="81" spans="1:14" s="281" customFormat="1" ht="16.5" customHeight="1">
      <c r="A81" s="366" t="s">
        <v>489</v>
      </c>
      <c r="B81" s="365"/>
      <c r="C81" s="365"/>
      <c r="D81" s="365"/>
      <c r="E81" s="365"/>
      <c r="F81" s="364"/>
      <c r="G81" s="397">
        <f>ROUND(G80*$H$8,2)</f>
        <v>5.52</v>
      </c>
      <c r="H81" s="376"/>
      <c r="I81" s="376"/>
      <c r="J81" s="376"/>
      <c r="K81" s="376"/>
      <c r="L81" s="376"/>
      <c r="M81" s="376"/>
      <c r="N81" s="376"/>
    </row>
    <row r="82" spans="1:14" s="281" customFormat="1" ht="16.5" customHeight="1">
      <c r="A82" s="369" t="s">
        <v>487</v>
      </c>
      <c r="B82" s="368"/>
      <c r="C82" s="368"/>
      <c r="D82" s="368"/>
      <c r="E82" s="368"/>
      <c r="F82" s="367"/>
      <c r="G82" s="398">
        <f>SUM(G80:G81)</f>
        <v>24.39</v>
      </c>
      <c r="H82" s="394"/>
      <c r="I82" s="394"/>
      <c r="J82" s="394"/>
      <c r="K82" s="394"/>
      <c r="L82" s="394"/>
      <c r="M82" s="394"/>
      <c r="N82" s="394"/>
    </row>
    <row r="83" spans="2:13" s="281" customFormat="1" ht="13.5">
      <c r="B83" s="284"/>
      <c r="E83" s="362"/>
      <c r="F83" s="362"/>
      <c r="G83" s="362"/>
      <c r="I83" s="362"/>
      <c r="J83" s="283"/>
      <c r="K83" s="282"/>
      <c r="L83" s="282"/>
      <c r="M83" s="282"/>
    </row>
    <row r="84" spans="1:9" s="272" customFormat="1" ht="44.25" customHeight="1">
      <c r="A84" s="390" t="str">
        <f>ORÇAMENTO!B20</f>
        <v>SINAPI</v>
      </c>
      <c r="B84" s="388" t="str">
        <f>ORÇAMENTO!C20</f>
        <v>100394</v>
      </c>
      <c r="C84" s="252" t="str">
        <f>ORÇAMENTO!D20</f>
        <v>RETIRADA E RECOLOCAÇÃO DE RIPA EM TELHADOS DE MAIS DE 2 ÁGUAS COM TELHA CERÂMICA CAPA-CANAL, INCLUSO TRANSPORTE VERTICAL. AF_07/2019</v>
      </c>
      <c r="D84" s="252"/>
      <c r="E84" s="252"/>
      <c r="F84" s="391" t="s">
        <v>295</v>
      </c>
      <c r="G84" s="396" t="str">
        <f>ORÇAMENTO!E20</f>
        <v>M2</v>
      </c>
      <c r="H84" s="310">
        <f>ORÇAMENTO!L20</f>
        <v>14.6</v>
      </c>
      <c r="I84" s="163" t="s">
        <v>295</v>
      </c>
    </row>
    <row r="85" spans="1:9" s="291" customFormat="1" ht="16.5" customHeight="1">
      <c r="A85" s="391" t="s">
        <v>296</v>
      </c>
      <c r="B85" s="392" t="s">
        <v>102</v>
      </c>
      <c r="C85" s="391" t="s">
        <v>36</v>
      </c>
      <c r="D85" s="399" t="s">
        <v>297</v>
      </c>
      <c r="E85" s="400" t="s">
        <v>26</v>
      </c>
      <c r="F85" s="393" t="s">
        <v>298</v>
      </c>
      <c r="G85" s="393" t="s">
        <v>10</v>
      </c>
      <c r="I85" s="393" t="s">
        <v>298</v>
      </c>
    </row>
    <row r="86" spans="1:9" s="272" customFormat="1" ht="38.25">
      <c r="A86" s="382" t="s">
        <v>197</v>
      </c>
      <c r="B86" s="389" t="s">
        <v>516</v>
      </c>
      <c r="C86" s="383" t="s">
        <v>517</v>
      </c>
      <c r="D86" s="384" t="s">
        <v>304</v>
      </c>
      <c r="E86" s="385">
        <v>2.588</v>
      </c>
      <c r="F86" s="386">
        <f aca="true" t="shared" si="4" ref="F86:F91">ROUND(I86*$I$8,2)</f>
        <v>2.04</v>
      </c>
      <c r="G86" s="387">
        <f aca="true" t="shared" si="5" ref="G86:G91">ROUND(E86*F86,2)</f>
        <v>5.28</v>
      </c>
      <c r="I86" s="386">
        <v>2.04</v>
      </c>
    </row>
    <row r="87" spans="1:9" s="272" customFormat="1" ht="12.75">
      <c r="A87" s="382" t="s">
        <v>197</v>
      </c>
      <c r="B87" s="389" t="s">
        <v>518</v>
      </c>
      <c r="C87" s="383" t="s">
        <v>519</v>
      </c>
      <c r="D87" s="384" t="s">
        <v>305</v>
      </c>
      <c r="E87" s="385">
        <v>0.03</v>
      </c>
      <c r="F87" s="386">
        <f t="shared" si="4"/>
        <v>22.36</v>
      </c>
      <c r="G87" s="387">
        <f t="shared" si="5"/>
        <v>0.67</v>
      </c>
      <c r="I87" s="386">
        <v>22.41</v>
      </c>
    </row>
    <row r="88" spans="1:9" s="272" customFormat="1" ht="25.5">
      <c r="A88" s="382" t="s">
        <v>99</v>
      </c>
      <c r="B88" s="389" t="s">
        <v>514</v>
      </c>
      <c r="C88" s="383" t="s">
        <v>515</v>
      </c>
      <c r="D88" s="384" t="s">
        <v>103</v>
      </c>
      <c r="E88" s="385">
        <v>0.232</v>
      </c>
      <c r="F88" s="386">
        <f>ROUND(I88*$J$8,2)</f>
        <v>17.26</v>
      </c>
      <c r="G88" s="387">
        <f t="shared" si="5"/>
        <v>4</v>
      </c>
      <c r="I88" s="386">
        <v>17.41</v>
      </c>
    </row>
    <row r="89" spans="1:9" s="272" customFormat="1" ht="25.5">
      <c r="A89" s="382" t="s">
        <v>99</v>
      </c>
      <c r="B89" s="389" t="s">
        <v>206</v>
      </c>
      <c r="C89" s="383" t="s">
        <v>207</v>
      </c>
      <c r="D89" s="384" t="s">
        <v>103</v>
      </c>
      <c r="E89" s="385">
        <v>0.18</v>
      </c>
      <c r="F89" s="386">
        <f>ROUND(I89*$J$8,2)</f>
        <v>20.89</v>
      </c>
      <c r="G89" s="387">
        <f t="shared" si="5"/>
        <v>3.76</v>
      </c>
      <c r="I89" s="386">
        <v>21.07</v>
      </c>
    </row>
    <row r="90" spans="1:9" s="272" customFormat="1" ht="38.25">
      <c r="A90" s="382" t="s">
        <v>99</v>
      </c>
      <c r="B90" s="389" t="s">
        <v>505</v>
      </c>
      <c r="C90" s="383" t="s">
        <v>506</v>
      </c>
      <c r="D90" s="384" t="s">
        <v>213</v>
      </c>
      <c r="E90" s="385">
        <v>0.0189</v>
      </c>
      <c r="F90" s="386">
        <f t="shared" si="4"/>
        <v>19.5</v>
      </c>
      <c r="G90" s="387">
        <f t="shared" si="5"/>
        <v>0.37</v>
      </c>
      <c r="I90" s="386">
        <v>19.54</v>
      </c>
    </row>
    <row r="91" spans="1:9" s="272" customFormat="1" ht="38.25">
      <c r="A91" s="382" t="s">
        <v>99</v>
      </c>
      <c r="B91" s="389" t="s">
        <v>507</v>
      </c>
      <c r="C91" s="383" t="s">
        <v>508</v>
      </c>
      <c r="D91" s="384" t="s">
        <v>509</v>
      </c>
      <c r="E91" s="385">
        <v>0.0261</v>
      </c>
      <c r="F91" s="386">
        <f t="shared" si="4"/>
        <v>18.37</v>
      </c>
      <c r="G91" s="387">
        <f t="shared" si="5"/>
        <v>0.48</v>
      </c>
      <c r="I91" s="386">
        <v>18.41</v>
      </c>
    </row>
    <row r="92" spans="1:14" s="281" customFormat="1" ht="16.5" customHeight="1">
      <c r="A92" s="366" t="s">
        <v>485</v>
      </c>
      <c r="B92" s="365"/>
      <c r="C92" s="365"/>
      <c r="D92" s="365"/>
      <c r="E92" s="365"/>
      <c r="F92" s="364"/>
      <c r="G92" s="397">
        <f>SUM(G86:G87,G90:G91)</f>
        <v>6.800000000000001</v>
      </c>
      <c r="H92" s="376"/>
      <c r="I92" s="376"/>
      <c r="J92" s="376"/>
      <c r="K92" s="376"/>
      <c r="L92" s="376"/>
      <c r="M92" s="376"/>
      <c r="N92" s="376"/>
    </row>
    <row r="93" spans="1:14" s="281" customFormat="1" ht="16.5" customHeight="1">
      <c r="A93" s="366" t="s">
        <v>488</v>
      </c>
      <c r="B93" s="365"/>
      <c r="C93" s="365"/>
      <c r="D93" s="365"/>
      <c r="E93" s="365"/>
      <c r="F93" s="364"/>
      <c r="G93" s="397">
        <f>SUM(G88:G89)</f>
        <v>7.76</v>
      </c>
      <c r="H93" s="376"/>
      <c r="I93" s="376"/>
      <c r="J93" s="376"/>
      <c r="K93" s="376"/>
      <c r="L93" s="376"/>
      <c r="M93" s="376"/>
      <c r="N93" s="376"/>
    </row>
    <row r="94" spans="1:14" s="281" customFormat="1" ht="16.5" customHeight="1">
      <c r="A94" s="369" t="s">
        <v>486</v>
      </c>
      <c r="B94" s="368"/>
      <c r="C94" s="368"/>
      <c r="D94" s="368"/>
      <c r="E94" s="368"/>
      <c r="F94" s="367"/>
      <c r="G94" s="398">
        <f>SUM(G92:G93)</f>
        <v>14.56</v>
      </c>
      <c r="H94" s="394"/>
      <c r="I94" s="394"/>
      <c r="J94" s="394"/>
      <c r="K94" s="394"/>
      <c r="L94" s="394"/>
      <c r="M94" s="394"/>
      <c r="N94" s="394"/>
    </row>
    <row r="95" spans="1:14" s="281" customFormat="1" ht="16.5" customHeight="1">
      <c r="A95" s="366" t="s">
        <v>489</v>
      </c>
      <c r="B95" s="365"/>
      <c r="C95" s="365"/>
      <c r="D95" s="365"/>
      <c r="E95" s="365"/>
      <c r="F95" s="364"/>
      <c r="G95" s="397">
        <f>ROUND(G94*$H$8,2)</f>
        <v>4.26</v>
      </c>
      <c r="H95" s="376"/>
      <c r="I95" s="376"/>
      <c r="J95" s="376"/>
      <c r="K95" s="376"/>
      <c r="L95" s="376"/>
      <c r="M95" s="376"/>
      <c r="N95" s="376"/>
    </row>
    <row r="96" spans="1:14" s="281" customFormat="1" ht="16.5" customHeight="1">
      <c r="A96" s="369" t="s">
        <v>487</v>
      </c>
      <c r="B96" s="368"/>
      <c r="C96" s="368"/>
      <c r="D96" s="368"/>
      <c r="E96" s="368"/>
      <c r="F96" s="367"/>
      <c r="G96" s="398">
        <f>SUM(G94:G95)</f>
        <v>18.82</v>
      </c>
      <c r="H96" s="394"/>
      <c r="I96" s="394"/>
      <c r="J96" s="394"/>
      <c r="K96" s="394"/>
      <c r="L96" s="394"/>
      <c r="M96" s="394"/>
      <c r="N96" s="394"/>
    </row>
    <row r="97" spans="2:13" s="281" customFormat="1" ht="13.5">
      <c r="B97" s="284"/>
      <c r="E97" s="362"/>
      <c r="F97" s="362"/>
      <c r="G97" s="362"/>
      <c r="I97" s="362"/>
      <c r="J97" s="283"/>
      <c r="K97" s="282"/>
      <c r="L97" s="282"/>
      <c r="M97" s="282"/>
    </row>
    <row r="98" spans="1:9" s="272" customFormat="1" ht="44.25" customHeight="1">
      <c r="A98" s="390" t="str">
        <f>ORÇAMENTO!B21</f>
        <v>SINAPI</v>
      </c>
      <c r="B98" s="388" t="str">
        <f>ORÇAMENTO!C21</f>
        <v>97640</v>
      </c>
      <c r="C98" s="252" t="str">
        <f>ORÇAMENTO!D21</f>
        <v>REMOÇÃO DE FORROS DE DRYWALL, PVC E FIBROMINERAL, DE FORMA MANUAL, SEM REAPROVEITAMENTO. AF_12/2017</v>
      </c>
      <c r="D98" s="252"/>
      <c r="E98" s="252"/>
      <c r="F98" s="391" t="s">
        <v>295</v>
      </c>
      <c r="G98" s="396" t="str">
        <f>ORÇAMENTO!E21</f>
        <v>M2</v>
      </c>
      <c r="H98" s="310">
        <f>ORÇAMENTO!L21</f>
        <v>1.31</v>
      </c>
      <c r="I98" s="163" t="s">
        <v>295</v>
      </c>
    </row>
    <row r="99" spans="1:9" s="291" customFormat="1" ht="16.5" customHeight="1">
      <c r="A99" s="391" t="s">
        <v>296</v>
      </c>
      <c r="B99" s="392" t="s">
        <v>102</v>
      </c>
      <c r="C99" s="391" t="s">
        <v>36</v>
      </c>
      <c r="D99" s="399" t="s">
        <v>297</v>
      </c>
      <c r="E99" s="400" t="s">
        <v>26</v>
      </c>
      <c r="F99" s="393" t="s">
        <v>298</v>
      </c>
      <c r="G99" s="393" t="s">
        <v>10</v>
      </c>
      <c r="I99" s="393" t="s">
        <v>298</v>
      </c>
    </row>
    <row r="100" spans="1:9" s="272" customFormat="1" ht="25.5">
      <c r="A100" s="382" t="s">
        <v>99</v>
      </c>
      <c r="B100" s="389" t="s">
        <v>520</v>
      </c>
      <c r="C100" s="383" t="s">
        <v>521</v>
      </c>
      <c r="D100" s="384" t="s">
        <v>103</v>
      </c>
      <c r="E100" s="385">
        <v>0.0258</v>
      </c>
      <c r="F100" s="386">
        <f>ROUND(I100*$J$8,2)</f>
        <v>17.58</v>
      </c>
      <c r="G100" s="387">
        <f>ROUND(E100*F100,2)</f>
        <v>0.45</v>
      </c>
      <c r="I100" s="386">
        <v>17.73</v>
      </c>
    </row>
    <row r="101" spans="1:9" s="272" customFormat="1" ht="12.75">
      <c r="A101" s="382" t="s">
        <v>99</v>
      </c>
      <c r="B101" s="389" t="s">
        <v>208</v>
      </c>
      <c r="C101" s="383" t="s">
        <v>209</v>
      </c>
      <c r="D101" s="384" t="s">
        <v>103</v>
      </c>
      <c r="E101" s="385">
        <v>0.0507</v>
      </c>
      <c r="F101" s="386">
        <f>ROUND(I101*$J$8,2)</f>
        <v>16.94</v>
      </c>
      <c r="G101" s="387">
        <f>ROUND(E101*F101,2)</f>
        <v>0.86</v>
      </c>
      <c r="I101" s="386">
        <v>17.09</v>
      </c>
    </row>
    <row r="102" spans="1:14" s="281" customFormat="1" ht="16.5" customHeight="1">
      <c r="A102" s="366" t="s">
        <v>485</v>
      </c>
      <c r="B102" s="365"/>
      <c r="C102" s="365"/>
      <c r="D102" s="365"/>
      <c r="E102" s="365"/>
      <c r="F102" s="364"/>
      <c r="G102" s="397">
        <v>0</v>
      </c>
      <c r="H102" s="376"/>
      <c r="I102" s="376"/>
      <c r="J102" s="376"/>
      <c r="K102" s="376"/>
      <c r="L102" s="376"/>
      <c r="M102" s="376"/>
      <c r="N102" s="376"/>
    </row>
    <row r="103" spans="1:14" s="281" customFormat="1" ht="16.5" customHeight="1">
      <c r="A103" s="366" t="s">
        <v>488</v>
      </c>
      <c r="B103" s="365"/>
      <c r="C103" s="365"/>
      <c r="D103" s="365"/>
      <c r="E103" s="365"/>
      <c r="F103" s="364"/>
      <c r="G103" s="397">
        <f>SUM(G100:G101)</f>
        <v>1.31</v>
      </c>
      <c r="H103" s="376"/>
      <c r="I103" s="376"/>
      <c r="J103" s="376"/>
      <c r="K103" s="376"/>
      <c r="L103" s="376"/>
      <c r="M103" s="376"/>
      <c r="N103" s="376"/>
    </row>
    <row r="104" spans="1:14" s="281" customFormat="1" ht="16.5" customHeight="1">
      <c r="A104" s="369" t="s">
        <v>486</v>
      </c>
      <c r="B104" s="368"/>
      <c r="C104" s="368"/>
      <c r="D104" s="368"/>
      <c r="E104" s="368"/>
      <c r="F104" s="367"/>
      <c r="G104" s="398">
        <f>SUM(G102:G103)</f>
        <v>1.31</v>
      </c>
      <c r="H104" s="394"/>
      <c r="I104" s="394"/>
      <c r="J104" s="394"/>
      <c r="K104" s="394"/>
      <c r="L104" s="394"/>
      <c r="M104" s="394"/>
      <c r="N104" s="394"/>
    </row>
    <row r="105" spans="1:14" s="281" customFormat="1" ht="16.5" customHeight="1">
      <c r="A105" s="366" t="s">
        <v>489</v>
      </c>
      <c r="B105" s="365"/>
      <c r="C105" s="365"/>
      <c r="D105" s="365"/>
      <c r="E105" s="365"/>
      <c r="F105" s="364"/>
      <c r="G105" s="397">
        <f>ROUND(G104*$H$8,2)</f>
        <v>0.38</v>
      </c>
      <c r="H105" s="376"/>
      <c r="I105" s="376"/>
      <c r="J105" s="376"/>
      <c r="K105" s="376"/>
      <c r="L105" s="376"/>
      <c r="M105" s="376"/>
      <c r="N105" s="376"/>
    </row>
    <row r="106" spans="1:14" s="281" customFormat="1" ht="16.5" customHeight="1">
      <c r="A106" s="369" t="s">
        <v>487</v>
      </c>
      <c r="B106" s="368"/>
      <c r="C106" s="368"/>
      <c r="D106" s="368"/>
      <c r="E106" s="368"/>
      <c r="F106" s="367"/>
      <c r="G106" s="398">
        <f>SUM(G104:G105)</f>
        <v>1.69</v>
      </c>
      <c r="H106" s="394"/>
      <c r="I106" s="394"/>
      <c r="J106" s="394"/>
      <c r="K106" s="394"/>
      <c r="L106" s="394"/>
      <c r="M106" s="394"/>
      <c r="N106" s="394"/>
    </row>
    <row r="107" spans="2:13" s="281" customFormat="1" ht="13.5">
      <c r="B107" s="284"/>
      <c r="E107" s="362"/>
      <c r="F107" s="362"/>
      <c r="G107" s="362"/>
      <c r="I107" s="362"/>
      <c r="J107" s="283"/>
      <c r="K107" s="282"/>
      <c r="L107" s="282"/>
      <c r="M107" s="282"/>
    </row>
    <row r="108" spans="1:9" s="272" customFormat="1" ht="44.25" customHeight="1">
      <c r="A108" s="390" t="str">
        <f>ORÇAMENTO!B22</f>
        <v>SINAPI</v>
      </c>
      <c r="B108" s="388" t="str">
        <f>ORÇAMENTO!C22</f>
        <v>97639</v>
      </c>
      <c r="C108" s="252" t="str">
        <f>ORÇAMENTO!D22</f>
        <v>REMOÇÃO DE PLACAS E PILARETES DE CONCRETO, DE FORMA MANUAL, SEM REAPROVEITAMENTO. AF_12/2017</v>
      </c>
      <c r="D108" s="252"/>
      <c r="E108" s="252"/>
      <c r="F108" s="391" t="s">
        <v>295</v>
      </c>
      <c r="G108" s="396" t="str">
        <f>ORÇAMENTO!E22</f>
        <v>M2</v>
      </c>
      <c r="H108" s="310">
        <f>ORÇAMENTO!L22</f>
        <v>15.6</v>
      </c>
      <c r="I108" s="163" t="s">
        <v>295</v>
      </c>
    </row>
    <row r="109" spans="1:9" s="291" customFormat="1" ht="16.5" customHeight="1">
      <c r="A109" s="391" t="s">
        <v>296</v>
      </c>
      <c r="B109" s="392" t="s">
        <v>102</v>
      </c>
      <c r="C109" s="391" t="s">
        <v>36</v>
      </c>
      <c r="D109" s="399" t="s">
        <v>297</v>
      </c>
      <c r="E109" s="400" t="s">
        <v>26</v>
      </c>
      <c r="F109" s="393" t="s">
        <v>298</v>
      </c>
      <c r="G109" s="393" t="s">
        <v>10</v>
      </c>
      <c r="I109" s="393" t="s">
        <v>298</v>
      </c>
    </row>
    <row r="110" spans="1:9" s="272" customFormat="1" ht="12.75">
      <c r="A110" s="382" t="s">
        <v>99</v>
      </c>
      <c r="B110" s="389" t="s">
        <v>448</v>
      </c>
      <c r="C110" s="383" t="s">
        <v>449</v>
      </c>
      <c r="D110" s="384" t="s">
        <v>103</v>
      </c>
      <c r="E110" s="385">
        <v>0.2844</v>
      </c>
      <c r="F110" s="386">
        <f>ROUND(I110*$J$8,2)</f>
        <v>21.13</v>
      </c>
      <c r="G110" s="387">
        <f>ROUND(E110*F110,2)</f>
        <v>6.01</v>
      </c>
      <c r="I110" s="386">
        <v>21.31</v>
      </c>
    </row>
    <row r="111" spans="1:9" s="272" customFormat="1" ht="12.75">
      <c r="A111" s="382" t="s">
        <v>99</v>
      </c>
      <c r="B111" s="389" t="s">
        <v>208</v>
      </c>
      <c r="C111" s="383" t="s">
        <v>209</v>
      </c>
      <c r="D111" s="384" t="s">
        <v>103</v>
      </c>
      <c r="E111" s="385">
        <v>0.5586</v>
      </c>
      <c r="F111" s="386">
        <f>ROUND(I111*$J$8,2)</f>
        <v>16.94</v>
      </c>
      <c r="G111" s="387">
        <f>ROUND(E111*F111,2)</f>
        <v>9.46</v>
      </c>
      <c r="I111" s="386">
        <v>17.09</v>
      </c>
    </row>
    <row r="112" spans="1:14" s="281" customFormat="1" ht="16.5" customHeight="1">
      <c r="A112" s="366" t="s">
        <v>485</v>
      </c>
      <c r="B112" s="365"/>
      <c r="C112" s="365"/>
      <c r="D112" s="365"/>
      <c r="E112" s="365"/>
      <c r="F112" s="364"/>
      <c r="G112" s="397">
        <v>0</v>
      </c>
      <c r="H112" s="376"/>
      <c r="I112" s="376"/>
      <c r="J112" s="376"/>
      <c r="K112" s="376"/>
      <c r="L112" s="376"/>
      <c r="M112" s="376"/>
      <c r="N112" s="376"/>
    </row>
    <row r="113" spans="1:14" s="281" customFormat="1" ht="16.5" customHeight="1">
      <c r="A113" s="366" t="s">
        <v>488</v>
      </c>
      <c r="B113" s="365"/>
      <c r="C113" s="365"/>
      <c r="D113" s="365"/>
      <c r="E113" s="365"/>
      <c r="F113" s="364"/>
      <c r="G113" s="397">
        <f>SUM(G110:G111)</f>
        <v>15.47</v>
      </c>
      <c r="H113" s="376"/>
      <c r="I113" s="376"/>
      <c r="J113" s="376"/>
      <c r="K113" s="376"/>
      <c r="L113" s="376"/>
      <c r="M113" s="376"/>
      <c r="N113" s="376"/>
    </row>
    <row r="114" spans="1:14" s="281" customFormat="1" ht="16.5" customHeight="1">
      <c r="A114" s="369" t="s">
        <v>486</v>
      </c>
      <c r="B114" s="368"/>
      <c r="C114" s="368"/>
      <c r="D114" s="368"/>
      <c r="E114" s="368"/>
      <c r="F114" s="367"/>
      <c r="G114" s="398">
        <f>SUM(G112:G113)</f>
        <v>15.47</v>
      </c>
      <c r="H114" s="394"/>
      <c r="I114" s="394"/>
      <c r="J114" s="394"/>
      <c r="K114" s="394"/>
      <c r="L114" s="394"/>
      <c r="M114" s="394"/>
      <c r="N114" s="394"/>
    </row>
    <row r="115" spans="1:14" s="281" customFormat="1" ht="16.5" customHeight="1">
      <c r="A115" s="366" t="s">
        <v>489</v>
      </c>
      <c r="B115" s="365"/>
      <c r="C115" s="365"/>
      <c r="D115" s="365"/>
      <c r="E115" s="365"/>
      <c r="F115" s="364"/>
      <c r="G115" s="397">
        <f>ROUND(G114*$H$8,2)</f>
        <v>4.53</v>
      </c>
      <c r="H115" s="376"/>
      <c r="I115" s="376"/>
      <c r="J115" s="376"/>
      <c r="K115" s="376"/>
      <c r="L115" s="376"/>
      <c r="M115" s="376"/>
      <c r="N115" s="376"/>
    </row>
    <row r="116" spans="1:14" s="281" customFormat="1" ht="16.5" customHeight="1">
      <c r="A116" s="369" t="s">
        <v>487</v>
      </c>
      <c r="B116" s="368"/>
      <c r="C116" s="368"/>
      <c r="D116" s="368"/>
      <c r="E116" s="368"/>
      <c r="F116" s="367"/>
      <c r="G116" s="398">
        <f>SUM(G114:G115)</f>
        <v>20</v>
      </c>
      <c r="H116" s="394"/>
      <c r="I116" s="394"/>
      <c r="J116" s="394"/>
      <c r="K116" s="394"/>
      <c r="L116" s="394"/>
      <c r="M116" s="394"/>
      <c r="N116" s="394"/>
    </row>
    <row r="117" spans="2:13" s="281" customFormat="1" ht="13.5">
      <c r="B117" s="284"/>
      <c r="E117" s="362"/>
      <c r="F117" s="362"/>
      <c r="G117" s="362"/>
      <c r="I117" s="362"/>
      <c r="J117" s="283"/>
      <c r="K117" s="282"/>
      <c r="L117" s="282"/>
      <c r="M117" s="282"/>
    </row>
    <row r="118" spans="1:9" s="272" customFormat="1" ht="44.25" customHeight="1">
      <c r="A118" s="390" t="str">
        <f>ORÇAMENTO!B23</f>
        <v>SINAPI</v>
      </c>
      <c r="B118" s="388" t="str">
        <f>ORÇAMENTO!C23</f>
        <v>97661</v>
      </c>
      <c r="C118" s="252" t="str">
        <f>ORÇAMENTO!D23</f>
        <v>REMOÇÃO DE CABOS ELÉTRICOS, DE FORMA MANUAL, SEM REAPROVEITAMENTO. AF_12/2017</v>
      </c>
      <c r="D118" s="252"/>
      <c r="E118" s="252"/>
      <c r="F118" s="391" t="s">
        <v>295</v>
      </c>
      <c r="G118" s="396" t="str">
        <f>ORÇAMENTO!E23</f>
        <v>M</v>
      </c>
      <c r="H118" s="310">
        <f>ORÇAMENTO!L23</f>
        <v>0.52</v>
      </c>
      <c r="I118" s="163" t="s">
        <v>295</v>
      </c>
    </row>
    <row r="119" spans="1:9" s="291" customFormat="1" ht="16.5" customHeight="1">
      <c r="A119" s="391" t="s">
        <v>296</v>
      </c>
      <c r="B119" s="392" t="s">
        <v>102</v>
      </c>
      <c r="C119" s="391" t="s">
        <v>36</v>
      </c>
      <c r="D119" s="399" t="s">
        <v>297</v>
      </c>
      <c r="E119" s="400" t="s">
        <v>26</v>
      </c>
      <c r="F119" s="393" t="s">
        <v>298</v>
      </c>
      <c r="G119" s="393" t="s">
        <v>10</v>
      </c>
      <c r="I119" s="393" t="s">
        <v>298</v>
      </c>
    </row>
    <row r="120" spans="1:9" s="272" customFormat="1" ht="12.75">
      <c r="A120" s="382" t="s">
        <v>99</v>
      </c>
      <c r="B120" s="389" t="s">
        <v>322</v>
      </c>
      <c r="C120" s="383" t="s">
        <v>299</v>
      </c>
      <c r="D120" s="384" t="s">
        <v>103</v>
      </c>
      <c r="E120" s="385">
        <v>0.0096</v>
      </c>
      <c r="F120" s="386">
        <f>ROUND(I120*$J$8,2)</f>
        <v>21.34</v>
      </c>
      <c r="G120" s="387">
        <f>ROUND(E120*F120,2)</f>
        <v>0.2</v>
      </c>
      <c r="I120" s="386">
        <v>21.52</v>
      </c>
    </row>
    <row r="121" spans="1:9" s="272" customFormat="1" ht="12.75">
      <c r="A121" s="382" t="s">
        <v>99</v>
      </c>
      <c r="B121" s="389" t="s">
        <v>208</v>
      </c>
      <c r="C121" s="383" t="s">
        <v>209</v>
      </c>
      <c r="D121" s="384" t="s">
        <v>103</v>
      </c>
      <c r="E121" s="385">
        <v>0.0188</v>
      </c>
      <c r="F121" s="386">
        <f>ROUND(I121*$J$8,2)</f>
        <v>16.94</v>
      </c>
      <c r="G121" s="387">
        <f>ROUND(E121*F121,2)</f>
        <v>0.32</v>
      </c>
      <c r="I121" s="386">
        <v>17.09</v>
      </c>
    </row>
    <row r="122" spans="1:14" s="281" customFormat="1" ht="16.5" customHeight="1">
      <c r="A122" s="366" t="s">
        <v>485</v>
      </c>
      <c r="B122" s="365"/>
      <c r="C122" s="365"/>
      <c r="D122" s="365"/>
      <c r="E122" s="365"/>
      <c r="F122" s="364"/>
      <c r="G122" s="397">
        <v>0</v>
      </c>
      <c r="H122" s="376"/>
      <c r="I122" s="376"/>
      <c r="J122" s="376"/>
      <c r="K122" s="376"/>
      <c r="L122" s="376"/>
      <c r="M122" s="376"/>
      <c r="N122" s="376"/>
    </row>
    <row r="123" spans="1:14" s="281" customFormat="1" ht="16.5" customHeight="1">
      <c r="A123" s="366" t="s">
        <v>488</v>
      </c>
      <c r="B123" s="365"/>
      <c r="C123" s="365"/>
      <c r="D123" s="365"/>
      <c r="E123" s="365"/>
      <c r="F123" s="364"/>
      <c r="G123" s="397">
        <f>SUM(G120:G121)</f>
        <v>0.52</v>
      </c>
      <c r="H123" s="376"/>
      <c r="I123" s="376"/>
      <c r="J123" s="376"/>
      <c r="K123" s="376"/>
      <c r="L123" s="376"/>
      <c r="M123" s="376"/>
      <c r="N123" s="376"/>
    </row>
    <row r="124" spans="1:14" s="281" customFormat="1" ht="16.5" customHeight="1">
      <c r="A124" s="369" t="s">
        <v>486</v>
      </c>
      <c r="B124" s="368"/>
      <c r="C124" s="368"/>
      <c r="D124" s="368"/>
      <c r="E124" s="368"/>
      <c r="F124" s="367"/>
      <c r="G124" s="398">
        <f>SUM(G122:G123)</f>
        <v>0.52</v>
      </c>
      <c r="H124" s="394"/>
      <c r="I124" s="394"/>
      <c r="J124" s="394"/>
      <c r="K124" s="394"/>
      <c r="L124" s="394"/>
      <c r="M124" s="394"/>
      <c r="N124" s="394"/>
    </row>
    <row r="125" spans="1:14" s="281" customFormat="1" ht="16.5" customHeight="1">
      <c r="A125" s="366" t="s">
        <v>489</v>
      </c>
      <c r="B125" s="365"/>
      <c r="C125" s="365"/>
      <c r="D125" s="365"/>
      <c r="E125" s="365"/>
      <c r="F125" s="364"/>
      <c r="G125" s="397">
        <f>ROUND(G124*$H$8,2)</f>
        <v>0.15</v>
      </c>
      <c r="H125" s="376"/>
      <c r="I125" s="376"/>
      <c r="J125" s="376"/>
      <c r="K125" s="376"/>
      <c r="L125" s="376"/>
      <c r="M125" s="376"/>
      <c r="N125" s="376"/>
    </row>
    <row r="126" spans="1:14" s="281" customFormat="1" ht="16.5" customHeight="1">
      <c r="A126" s="369" t="s">
        <v>487</v>
      </c>
      <c r="B126" s="368"/>
      <c r="C126" s="368"/>
      <c r="D126" s="368"/>
      <c r="E126" s="368"/>
      <c r="F126" s="367"/>
      <c r="G126" s="398">
        <f>SUM(G124:G125)</f>
        <v>0.67</v>
      </c>
      <c r="H126" s="394"/>
      <c r="I126" s="394"/>
      <c r="J126" s="394"/>
      <c r="K126" s="394"/>
      <c r="L126" s="394"/>
      <c r="M126" s="394"/>
      <c r="N126" s="394"/>
    </row>
    <row r="127" spans="2:13" s="281" customFormat="1" ht="13.5">
      <c r="B127" s="284"/>
      <c r="E127" s="362"/>
      <c r="F127" s="362"/>
      <c r="G127" s="362"/>
      <c r="I127" s="362"/>
      <c r="J127" s="283"/>
      <c r="K127" s="282"/>
      <c r="L127" s="282"/>
      <c r="M127" s="282"/>
    </row>
    <row r="128" spans="1:11" s="272" customFormat="1" ht="44.25" customHeight="1">
      <c r="A128" s="390" t="str">
        <f>ORÇAMENTO!B24</f>
        <v>SINAPI</v>
      </c>
      <c r="B128" s="388" t="str">
        <f>ORÇAMENTO!C24</f>
        <v>97660</v>
      </c>
      <c r="C128" s="252" t="str">
        <f>ORÇAMENTO!D24</f>
        <v>REMOÇÃO DE INTERRUPTORES/TOMADAS ELÉTRICAS, DE FORMA MANUAL, SEM REAPROVEITAMENTO. AF_12/2017</v>
      </c>
      <c r="D128" s="252"/>
      <c r="E128" s="252"/>
      <c r="F128" s="391" t="s">
        <v>295</v>
      </c>
      <c r="G128" s="396" t="str">
        <f>ORÇAMENTO!E24</f>
        <v>UN</v>
      </c>
      <c r="H128" s="310">
        <f>ORÇAMENTO!L24</f>
        <v>0.51</v>
      </c>
      <c r="I128" s="163" t="s">
        <v>295</v>
      </c>
      <c r="K128" s="419">
        <f>J12</f>
        <v>1724.179999999993</v>
      </c>
    </row>
    <row r="129" spans="1:9" s="291" customFormat="1" ht="16.5" customHeight="1">
      <c r="A129" s="391" t="s">
        <v>296</v>
      </c>
      <c r="B129" s="392" t="s">
        <v>102</v>
      </c>
      <c r="C129" s="391" t="s">
        <v>36</v>
      </c>
      <c r="D129" s="399" t="s">
        <v>297</v>
      </c>
      <c r="E129" s="400" t="s">
        <v>26</v>
      </c>
      <c r="F129" s="393" t="s">
        <v>298</v>
      </c>
      <c r="G129" s="393" t="s">
        <v>10</v>
      </c>
      <c r="I129" s="393" t="s">
        <v>298</v>
      </c>
    </row>
    <row r="130" spans="1:15" s="272" customFormat="1" ht="12.75">
      <c r="A130" s="382" t="s">
        <v>99</v>
      </c>
      <c r="B130" s="389" t="s">
        <v>322</v>
      </c>
      <c r="C130" s="383" t="s">
        <v>299</v>
      </c>
      <c r="D130" s="384" t="s">
        <v>103</v>
      </c>
      <c r="E130" s="385">
        <v>0.0095</v>
      </c>
      <c r="F130" s="386">
        <f>$F$120</f>
        <v>21.34</v>
      </c>
      <c r="G130" s="387">
        <f>E130*F130</f>
        <v>0.20273</v>
      </c>
      <c r="I130" s="386">
        <v>21.52</v>
      </c>
      <c r="K130" s="272" t="s">
        <v>299</v>
      </c>
      <c r="L130" s="272">
        <v>0.2</v>
      </c>
      <c r="M130" s="272">
        <v>0.22</v>
      </c>
      <c r="N130" s="272">
        <v>0.0095</v>
      </c>
      <c r="O130" s="272">
        <v>21.52</v>
      </c>
    </row>
    <row r="131" spans="1:15" s="272" customFormat="1" ht="12.75">
      <c r="A131" s="382" t="s">
        <v>99</v>
      </c>
      <c r="B131" s="389" t="s">
        <v>208</v>
      </c>
      <c r="C131" s="383" t="s">
        <v>209</v>
      </c>
      <c r="D131" s="384" t="s">
        <v>103</v>
      </c>
      <c r="E131" s="385">
        <v>0.0184</v>
      </c>
      <c r="F131" s="386">
        <f>I131*$J$8</f>
        <v>16.944735</v>
      </c>
      <c r="G131" s="418">
        <f>E131*F131</f>
        <v>0.311783124</v>
      </c>
      <c r="I131" s="386">
        <v>17.09</v>
      </c>
      <c r="K131" s="272" t="s">
        <v>209</v>
      </c>
      <c r="L131" s="272">
        <v>0.31</v>
      </c>
      <c r="M131" s="272">
        <v>0.35</v>
      </c>
      <c r="N131" s="272">
        <v>0.0187</v>
      </c>
      <c r="O131" s="272">
        <v>16.9</v>
      </c>
    </row>
    <row r="132" spans="1:14" s="281" customFormat="1" ht="16.5" customHeight="1">
      <c r="A132" s="366" t="s">
        <v>485</v>
      </c>
      <c r="B132" s="365"/>
      <c r="C132" s="365"/>
      <c r="D132" s="365"/>
      <c r="E132" s="365"/>
      <c r="F132" s="364"/>
      <c r="G132" s="397">
        <v>0</v>
      </c>
      <c r="H132" s="376"/>
      <c r="I132" s="376"/>
      <c r="J132" s="376"/>
      <c r="K132" s="376"/>
      <c r="L132" s="376"/>
      <c r="M132" s="376"/>
      <c r="N132" s="376"/>
    </row>
    <row r="133" spans="1:15" s="281" customFormat="1" ht="16.5" customHeight="1">
      <c r="A133" s="366" t="s">
        <v>488</v>
      </c>
      <c r="B133" s="365"/>
      <c r="C133" s="365"/>
      <c r="D133" s="365"/>
      <c r="E133" s="365"/>
      <c r="F133" s="364"/>
      <c r="G133" s="397">
        <f>SUM(G130:G131)</f>
        <v>0.514513124</v>
      </c>
      <c r="H133" s="376"/>
      <c r="I133" s="376"/>
      <c r="J133" s="376"/>
      <c r="K133" s="376"/>
      <c r="L133" s="376"/>
      <c r="M133" s="376"/>
      <c r="N133" s="376"/>
      <c r="O133" s="417">
        <f>N131*O131</f>
        <v>0.31603</v>
      </c>
    </row>
    <row r="134" spans="1:14" s="281" customFormat="1" ht="16.5" customHeight="1">
      <c r="A134" s="369" t="s">
        <v>486</v>
      </c>
      <c r="B134" s="368"/>
      <c r="C134" s="368"/>
      <c r="D134" s="368"/>
      <c r="E134" s="368"/>
      <c r="F134" s="367"/>
      <c r="G134" s="398">
        <f>SUM(G132:G133)</f>
        <v>0.514513124</v>
      </c>
      <c r="H134" s="394"/>
      <c r="I134" s="394"/>
      <c r="J134" s="394"/>
      <c r="K134" s="394"/>
      <c r="L134" s="394"/>
      <c r="M134" s="394"/>
      <c r="N134" s="394"/>
    </row>
    <row r="135" spans="1:14" s="281" customFormat="1" ht="16.5" customHeight="1">
      <c r="A135" s="366" t="s">
        <v>489</v>
      </c>
      <c r="B135" s="365"/>
      <c r="C135" s="365"/>
      <c r="D135" s="365"/>
      <c r="E135" s="365"/>
      <c r="F135" s="364"/>
      <c r="G135" s="397">
        <f>ROUND(G134*$H$8,2)</f>
        <v>0.15</v>
      </c>
      <c r="H135" s="376"/>
      <c r="I135" s="376"/>
      <c r="J135" s="376"/>
      <c r="K135" s="376"/>
      <c r="L135" s="376"/>
      <c r="M135" s="376"/>
      <c r="N135" s="376"/>
    </row>
    <row r="136" spans="1:14" s="281" customFormat="1" ht="16.5" customHeight="1">
      <c r="A136" s="369" t="s">
        <v>487</v>
      </c>
      <c r="B136" s="368"/>
      <c r="C136" s="368"/>
      <c r="D136" s="368"/>
      <c r="E136" s="368"/>
      <c r="F136" s="367"/>
      <c r="G136" s="398">
        <f>SUM(G134:G135)</f>
        <v>0.6645131240000001</v>
      </c>
      <c r="H136" s="394"/>
      <c r="I136" s="394"/>
      <c r="J136" s="394"/>
      <c r="K136" s="394"/>
      <c r="L136" s="394"/>
      <c r="M136" s="394"/>
      <c r="N136" s="394"/>
    </row>
    <row r="137" spans="2:13" s="281" customFormat="1" ht="13.5">
      <c r="B137" s="284"/>
      <c r="E137" s="362"/>
      <c r="F137" s="362"/>
      <c r="G137" s="362"/>
      <c r="I137" s="362"/>
      <c r="J137" s="283"/>
      <c r="K137" s="282"/>
      <c r="L137" s="282"/>
      <c r="M137" s="282"/>
    </row>
    <row r="138" spans="1:9" s="272" customFormat="1" ht="44.25" customHeight="1">
      <c r="A138" s="390" t="str">
        <f>ORÇAMENTO!B25</f>
        <v>SINAPI</v>
      </c>
      <c r="B138" s="388" t="str">
        <f>ORÇAMENTO!C25</f>
        <v>97666</v>
      </c>
      <c r="C138" s="252" t="str">
        <f>ORÇAMENTO!D25</f>
        <v>REMOÇÃO DE METAIS SANITÁRIOS, DE FORMA MANUAL, SEM REAPROVEITAMENTO. AF_12/2017</v>
      </c>
      <c r="D138" s="252"/>
      <c r="E138" s="252"/>
      <c r="F138" s="391" t="s">
        <v>295</v>
      </c>
      <c r="G138" s="396" t="str">
        <f>ORÇAMENTO!E25</f>
        <v>UN</v>
      </c>
      <c r="H138" s="310">
        <f>ORÇAMENTO!L25</f>
        <v>6.93</v>
      </c>
      <c r="I138" s="163" t="s">
        <v>295</v>
      </c>
    </row>
    <row r="139" spans="1:9" s="291" customFormat="1" ht="16.5" customHeight="1">
      <c r="A139" s="391" t="s">
        <v>296</v>
      </c>
      <c r="B139" s="392" t="s">
        <v>102</v>
      </c>
      <c r="C139" s="391" t="s">
        <v>36</v>
      </c>
      <c r="D139" s="399" t="s">
        <v>297</v>
      </c>
      <c r="E139" s="400" t="s">
        <v>26</v>
      </c>
      <c r="F139" s="393" t="s">
        <v>298</v>
      </c>
      <c r="G139" s="393" t="s">
        <v>10</v>
      </c>
      <c r="I139" s="393" t="s">
        <v>298</v>
      </c>
    </row>
    <row r="140" spans="1:9" s="272" customFormat="1" ht="25.5">
      <c r="A140" s="382" t="s">
        <v>99</v>
      </c>
      <c r="B140" s="389" t="s">
        <v>522</v>
      </c>
      <c r="C140" s="383" t="s">
        <v>523</v>
      </c>
      <c r="D140" s="384" t="s">
        <v>103</v>
      </c>
      <c r="E140" s="385">
        <v>0.128</v>
      </c>
      <c r="F140" s="386">
        <f>ROUND(I140*$J$8,2)</f>
        <v>20.52</v>
      </c>
      <c r="G140" s="387">
        <f>ROUND(E140*F140,2)</f>
        <v>2.63</v>
      </c>
      <c r="I140" s="386">
        <v>20.7</v>
      </c>
    </row>
    <row r="141" spans="1:9" s="272" customFormat="1" ht="12.75">
      <c r="A141" s="382" t="s">
        <v>99</v>
      </c>
      <c r="B141" s="389" t="s">
        <v>208</v>
      </c>
      <c r="C141" s="383" t="s">
        <v>209</v>
      </c>
      <c r="D141" s="384" t="s">
        <v>103</v>
      </c>
      <c r="E141" s="385">
        <v>0.2514</v>
      </c>
      <c r="F141" s="386">
        <f>ROUND(I141*$J$8,2)</f>
        <v>16.94</v>
      </c>
      <c r="G141" s="387">
        <f>ROUND(E141*F141,2)</f>
        <v>4.26</v>
      </c>
      <c r="I141" s="386">
        <v>17.09</v>
      </c>
    </row>
    <row r="142" spans="1:14" s="281" customFormat="1" ht="16.5" customHeight="1">
      <c r="A142" s="366" t="s">
        <v>485</v>
      </c>
      <c r="B142" s="365"/>
      <c r="C142" s="365"/>
      <c r="D142" s="365"/>
      <c r="E142" s="365"/>
      <c r="F142" s="364"/>
      <c r="G142" s="397">
        <v>0</v>
      </c>
      <c r="H142" s="376"/>
      <c r="I142" s="376"/>
      <c r="J142" s="376"/>
      <c r="K142" s="376"/>
      <c r="L142" s="376"/>
      <c r="M142" s="376"/>
      <c r="N142" s="376"/>
    </row>
    <row r="143" spans="1:14" s="281" customFormat="1" ht="16.5" customHeight="1">
      <c r="A143" s="366" t="s">
        <v>488</v>
      </c>
      <c r="B143" s="365"/>
      <c r="C143" s="365"/>
      <c r="D143" s="365"/>
      <c r="E143" s="365"/>
      <c r="F143" s="364"/>
      <c r="G143" s="397">
        <f>SUM(G140:G141)</f>
        <v>6.89</v>
      </c>
      <c r="H143" s="376"/>
      <c r="I143" s="376"/>
      <c r="J143" s="376"/>
      <c r="K143" s="376"/>
      <c r="L143" s="376"/>
      <c r="M143" s="376"/>
      <c r="N143" s="376"/>
    </row>
    <row r="144" spans="1:14" s="281" customFormat="1" ht="16.5" customHeight="1">
      <c r="A144" s="369" t="s">
        <v>486</v>
      </c>
      <c r="B144" s="368"/>
      <c r="C144" s="368"/>
      <c r="D144" s="368"/>
      <c r="E144" s="368"/>
      <c r="F144" s="367"/>
      <c r="G144" s="398">
        <f>SUM(G142:G143)</f>
        <v>6.89</v>
      </c>
      <c r="H144" s="394"/>
      <c r="I144" s="394"/>
      <c r="J144" s="394"/>
      <c r="K144" s="394"/>
      <c r="L144" s="394"/>
      <c r="M144" s="394"/>
      <c r="N144" s="394"/>
    </row>
    <row r="145" spans="1:14" s="281" customFormat="1" ht="16.5" customHeight="1">
      <c r="A145" s="366" t="s">
        <v>489</v>
      </c>
      <c r="B145" s="365"/>
      <c r="C145" s="365"/>
      <c r="D145" s="365"/>
      <c r="E145" s="365"/>
      <c r="F145" s="364"/>
      <c r="G145" s="397">
        <f>ROUND(G144*$H$8,2)</f>
        <v>2.02</v>
      </c>
      <c r="H145" s="376"/>
      <c r="I145" s="376"/>
      <c r="J145" s="376"/>
      <c r="K145" s="376"/>
      <c r="L145" s="376"/>
      <c r="M145" s="376"/>
      <c r="N145" s="376"/>
    </row>
    <row r="146" spans="1:14" s="281" customFormat="1" ht="16.5" customHeight="1">
      <c r="A146" s="369" t="s">
        <v>487</v>
      </c>
      <c r="B146" s="368"/>
      <c r="C146" s="368"/>
      <c r="D146" s="368"/>
      <c r="E146" s="368"/>
      <c r="F146" s="367"/>
      <c r="G146" s="398">
        <f>SUM(G144:G145)</f>
        <v>8.91</v>
      </c>
      <c r="H146" s="394"/>
      <c r="I146" s="394"/>
      <c r="J146" s="394"/>
      <c r="K146" s="394"/>
      <c r="L146" s="394"/>
      <c r="M146" s="394"/>
      <c r="N146" s="394"/>
    </row>
    <row r="147" spans="2:13" s="281" customFormat="1" ht="13.5">
      <c r="B147" s="284"/>
      <c r="E147" s="362"/>
      <c r="F147" s="362"/>
      <c r="G147" s="362"/>
      <c r="I147" s="362"/>
      <c r="J147" s="283"/>
      <c r="K147" s="282"/>
      <c r="L147" s="282"/>
      <c r="M147" s="282"/>
    </row>
    <row r="148" spans="1:9" s="272" customFormat="1" ht="44.25" customHeight="1">
      <c r="A148" s="390" t="str">
        <f>ORÇAMENTO!B26</f>
        <v>SINAPI</v>
      </c>
      <c r="B148" s="388" t="str">
        <f>ORÇAMENTO!C26</f>
        <v>97633</v>
      </c>
      <c r="C148" s="252" t="str">
        <f>ORÇAMENTO!D26</f>
        <v>DEMOLIÇÃO DE REVESTIMENTO CERÂMICO, DE FORMA MANUAL, SEM REAPROVEITAMENTO. AF_12/2017</v>
      </c>
      <c r="D148" s="252"/>
      <c r="E148" s="252"/>
      <c r="F148" s="391" t="s">
        <v>295</v>
      </c>
      <c r="G148" s="396" t="str">
        <f>ORÇAMENTO!E26</f>
        <v>M2</v>
      </c>
      <c r="H148" s="310">
        <f>ORÇAMENTO!L26</f>
        <v>17.71</v>
      </c>
      <c r="I148" s="163" t="s">
        <v>295</v>
      </c>
    </row>
    <row r="149" spans="1:9" s="291" customFormat="1" ht="16.5" customHeight="1">
      <c r="A149" s="391" t="s">
        <v>296</v>
      </c>
      <c r="B149" s="392" t="s">
        <v>102</v>
      </c>
      <c r="C149" s="391" t="s">
        <v>36</v>
      </c>
      <c r="D149" s="399" t="s">
        <v>297</v>
      </c>
      <c r="E149" s="400" t="s">
        <v>26</v>
      </c>
      <c r="F149" s="393" t="s">
        <v>298</v>
      </c>
      <c r="G149" s="393" t="s">
        <v>10</v>
      </c>
      <c r="I149" s="393" t="s">
        <v>298</v>
      </c>
    </row>
    <row r="150" spans="1:9" s="272" customFormat="1" ht="25.5">
      <c r="A150" s="382" t="s">
        <v>99</v>
      </c>
      <c r="B150" s="389" t="s">
        <v>524</v>
      </c>
      <c r="C150" s="383" t="s">
        <v>525</v>
      </c>
      <c r="D150" s="384" t="s">
        <v>103</v>
      </c>
      <c r="E150" s="385">
        <v>0.2553</v>
      </c>
      <c r="F150" s="386">
        <f>ROUND(I150*$J$8,2)</f>
        <v>21.05</v>
      </c>
      <c r="G150" s="387">
        <f>ROUND(E150*F150,2)</f>
        <v>5.37</v>
      </c>
      <c r="I150" s="386">
        <v>21.23</v>
      </c>
    </row>
    <row r="151" spans="1:9" s="272" customFormat="1" ht="12.75">
      <c r="A151" s="382" t="s">
        <v>99</v>
      </c>
      <c r="B151" s="389" t="s">
        <v>208</v>
      </c>
      <c r="C151" s="383" t="s">
        <v>209</v>
      </c>
      <c r="D151" s="384" t="s">
        <v>103</v>
      </c>
      <c r="E151" s="385">
        <v>0.7195</v>
      </c>
      <c r="F151" s="386">
        <f>ROUND(I151*$J$8,2)</f>
        <v>16.94</v>
      </c>
      <c r="G151" s="387">
        <f>ROUND(E151*F151,2)</f>
        <v>12.19</v>
      </c>
      <c r="I151" s="386">
        <v>17.09</v>
      </c>
    </row>
    <row r="152" spans="1:14" s="281" customFormat="1" ht="16.5" customHeight="1">
      <c r="A152" s="366" t="s">
        <v>485</v>
      </c>
      <c r="B152" s="365"/>
      <c r="C152" s="365"/>
      <c r="D152" s="365"/>
      <c r="E152" s="365"/>
      <c r="F152" s="364"/>
      <c r="G152" s="397">
        <v>0</v>
      </c>
      <c r="H152" s="376"/>
      <c r="I152" s="376"/>
      <c r="J152" s="376"/>
      <c r="K152" s="376"/>
      <c r="L152" s="376"/>
      <c r="M152" s="376"/>
      <c r="N152" s="376"/>
    </row>
    <row r="153" spans="1:14" s="281" customFormat="1" ht="16.5" customHeight="1">
      <c r="A153" s="366" t="s">
        <v>488</v>
      </c>
      <c r="B153" s="365"/>
      <c r="C153" s="365"/>
      <c r="D153" s="365"/>
      <c r="E153" s="365"/>
      <c r="F153" s="364"/>
      <c r="G153" s="397">
        <f>SUM(G150:G151)</f>
        <v>17.56</v>
      </c>
      <c r="H153" s="376"/>
      <c r="I153" s="376"/>
      <c r="J153" s="376"/>
      <c r="K153" s="376"/>
      <c r="L153" s="376"/>
      <c r="M153" s="376"/>
      <c r="N153" s="376"/>
    </row>
    <row r="154" spans="1:14" s="281" customFormat="1" ht="16.5" customHeight="1">
      <c r="A154" s="369" t="s">
        <v>486</v>
      </c>
      <c r="B154" s="368"/>
      <c r="C154" s="368"/>
      <c r="D154" s="368"/>
      <c r="E154" s="368"/>
      <c r="F154" s="367"/>
      <c r="G154" s="398">
        <f>SUM(G152:G153)</f>
        <v>17.56</v>
      </c>
      <c r="H154" s="394"/>
      <c r="I154" s="394"/>
      <c r="J154" s="394"/>
      <c r="K154" s="394"/>
      <c r="L154" s="394"/>
      <c r="M154" s="394"/>
      <c r="N154" s="394"/>
    </row>
    <row r="155" spans="1:14" s="281" customFormat="1" ht="16.5" customHeight="1">
      <c r="A155" s="366" t="s">
        <v>489</v>
      </c>
      <c r="B155" s="365"/>
      <c r="C155" s="365"/>
      <c r="D155" s="365"/>
      <c r="E155" s="365"/>
      <c r="F155" s="364"/>
      <c r="G155" s="397">
        <f>ROUND(G154*$H$8,2)</f>
        <v>5.14</v>
      </c>
      <c r="H155" s="376"/>
      <c r="I155" s="376"/>
      <c r="J155" s="376"/>
      <c r="K155" s="376"/>
      <c r="L155" s="376"/>
      <c r="M155" s="376"/>
      <c r="N155" s="376"/>
    </row>
    <row r="156" spans="1:14" s="281" customFormat="1" ht="16.5" customHeight="1">
      <c r="A156" s="369" t="s">
        <v>487</v>
      </c>
      <c r="B156" s="368"/>
      <c r="C156" s="368"/>
      <c r="D156" s="368"/>
      <c r="E156" s="368"/>
      <c r="F156" s="367"/>
      <c r="G156" s="398">
        <f>SUM(G154:G155)</f>
        <v>22.7</v>
      </c>
      <c r="H156" s="394"/>
      <c r="I156" s="394"/>
      <c r="J156" s="394"/>
      <c r="K156" s="394"/>
      <c r="L156" s="394"/>
      <c r="M156" s="394"/>
      <c r="N156" s="394"/>
    </row>
    <row r="157" spans="2:13" s="281" customFormat="1" ht="13.5">
      <c r="B157" s="284"/>
      <c r="E157" s="362"/>
      <c r="F157" s="362"/>
      <c r="G157" s="362"/>
      <c r="I157" s="362"/>
      <c r="J157" s="283"/>
      <c r="K157" s="282"/>
      <c r="L157" s="282"/>
      <c r="M157" s="282"/>
    </row>
    <row r="158" spans="1:9" s="272" customFormat="1" ht="44.25" customHeight="1">
      <c r="A158" s="390" t="str">
        <f>ORÇAMENTO!B28</f>
        <v>SINAPI</v>
      </c>
      <c r="B158" s="388" t="str">
        <f>ORÇAMENTO!C28</f>
        <v>94319</v>
      </c>
      <c r="C158" s="252" t="str">
        <f>ORÇAMENTO!D28</f>
        <v>ATERRO MANUAL DE VALAS COM SOLO ARGILO-ARENOSO E COMPACTAÇÃO MECANIZADA. AF_05/2016</v>
      </c>
      <c r="D158" s="252"/>
      <c r="E158" s="252"/>
      <c r="F158" s="391" t="s">
        <v>295</v>
      </c>
      <c r="G158" s="396" t="str">
        <f>ORÇAMENTO!E28</f>
        <v>M3</v>
      </c>
      <c r="H158" s="310">
        <f>ORÇAMENTO!L28</f>
        <v>73.31</v>
      </c>
      <c r="I158" s="163" t="s">
        <v>295</v>
      </c>
    </row>
    <row r="159" spans="1:9" s="291" customFormat="1" ht="16.5" customHeight="1">
      <c r="A159" s="391" t="s">
        <v>296</v>
      </c>
      <c r="B159" s="392" t="s">
        <v>102</v>
      </c>
      <c r="C159" s="391" t="s">
        <v>36</v>
      </c>
      <c r="D159" s="399" t="s">
        <v>297</v>
      </c>
      <c r="E159" s="400" t="s">
        <v>26</v>
      </c>
      <c r="F159" s="393" t="s">
        <v>298</v>
      </c>
      <c r="G159" s="393" t="s">
        <v>10</v>
      </c>
      <c r="I159" s="393" t="s">
        <v>298</v>
      </c>
    </row>
    <row r="160" spans="1:9" s="272" customFormat="1" ht="63.75">
      <c r="A160" s="382" t="s">
        <v>99</v>
      </c>
      <c r="B160" s="389" t="s">
        <v>526</v>
      </c>
      <c r="C160" s="383" t="s">
        <v>527</v>
      </c>
      <c r="D160" s="384" t="s">
        <v>213</v>
      </c>
      <c r="E160" s="385">
        <v>0.006</v>
      </c>
      <c r="F160" s="386">
        <f aca="true" t="shared" si="6" ref="F160:F165">ROUND(I160*$I$8,2)</f>
        <v>280.55</v>
      </c>
      <c r="G160" s="387">
        <f aca="true" t="shared" si="7" ref="G160:G165">ROUND(E160*F160,2)</f>
        <v>1.68</v>
      </c>
      <c r="I160" s="386">
        <v>281.2</v>
      </c>
    </row>
    <row r="161" spans="1:9" s="272" customFormat="1" ht="63.75">
      <c r="A161" s="382" t="s">
        <v>99</v>
      </c>
      <c r="B161" s="389" t="s">
        <v>528</v>
      </c>
      <c r="C161" s="383" t="s">
        <v>529</v>
      </c>
      <c r="D161" s="384" t="s">
        <v>509</v>
      </c>
      <c r="E161" s="385">
        <v>0.003</v>
      </c>
      <c r="F161" s="386">
        <f t="shared" si="6"/>
        <v>50.38</v>
      </c>
      <c r="G161" s="387">
        <f t="shared" si="7"/>
        <v>0.15</v>
      </c>
      <c r="I161" s="386">
        <v>50.5</v>
      </c>
    </row>
    <row r="162" spans="1:9" s="272" customFormat="1" ht="25.5">
      <c r="A162" s="382" t="s">
        <v>197</v>
      </c>
      <c r="B162" s="389" t="s">
        <v>530</v>
      </c>
      <c r="C162" s="383" t="s">
        <v>531</v>
      </c>
      <c r="D162" s="384" t="s">
        <v>463</v>
      </c>
      <c r="E162" s="385">
        <v>1.25</v>
      </c>
      <c r="F162" s="386">
        <f t="shared" si="6"/>
        <v>37.19</v>
      </c>
      <c r="G162" s="387">
        <f t="shared" si="7"/>
        <v>46.49</v>
      </c>
      <c r="I162" s="386">
        <v>37.28</v>
      </c>
    </row>
    <row r="163" spans="1:9" s="272" customFormat="1" ht="12.75">
      <c r="A163" s="382" t="s">
        <v>99</v>
      </c>
      <c r="B163" s="389" t="s">
        <v>208</v>
      </c>
      <c r="C163" s="383" t="s">
        <v>209</v>
      </c>
      <c r="D163" s="384" t="s">
        <v>103</v>
      </c>
      <c r="E163" s="385">
        <v>0.659</v>
      </c>
      <c r="F163" s="386">
        <f>ROUND(I163*$J$8,2)</f>
        <v>16.94</v>
      </c>
      <c r="G163" s="387">
        <f t="shared" si="7"/>
        <v>11.16</v>
      </c>
      <c r="I163" s="386">
        <v>17.09</v>
      </c>
    </row>
    <row r="164" spans="1:9" s="272" customFormat="1" ht="38.25">
      <c r="A164" s="382" t="s">
        <v>99</v>
      </c>
      <c r="B164" s="389" t="s">
        <v>532</v>
      </c>
      <c r="C164" s="383" t="s">
        <v>533</v>
      </c>
      <c r="D164" s="384" t="s">
        <v>213</v>
      </c>
      <c r="E164" s="385">
        <v>0.274</v>
      </c>
      <c r="F164" s="386">
        <f t="shared" si="6"/>
        <v>29.53</v>
      </c>
      <c r="G164" s="387">
        <f t="shared" si="7"/>
        <v>8.09</v>
      </c>
      <c r="I164" s="386">
        <v>29.6</v>
      </c>
    </row>
    <row r="165" spans="1:9" s="272" customFormat="1" ht="38.25">
      <c r="A165" s="382" t="s">
        <v>99</v>
      </c>
      <c r="B165" s="389" t="s">
        <v>534</v>
      </c>
      <c r="C165" s="383" t="s">
        <v>535</v>
      </c>
      <c r="D165" s="384" t="s">
        <v>509</v>
      </c>
      <c r="E165" s="385">
        <v>0.254</v>
      </c>
      <c r="F165" s="386">
        <f t="shared" si="6"/>
        <v>21.66</v>
      </c>
      <c r="G165" s="387">
        <f t="shared" si="7"/>
        <v>5.5</v>
      </c>
      <c r="I165" s="386">
        <v>21.71</v>
      </c>
    </row>
    <row r="166" spans="1:14" s="281" customFormat="1" ht="16.5" customHeight="1">
      <c r="A166" s="366" t="s">
        <v>485</v>
      </c>
      <c r="B166" s="365"/>
      <c r="C166" s="365"/>
      <c r="D166" s="365"/>
      <c r="E166" s="365"/>
      <c r="F166" s="364"/>
      <c r="G166" s="397">
        <f>SUM(G164:G165,G162,G160:G161)</f>
        <v>61.91</v>
      </c>
      <c r="H166" s="376"/>
      <c r="I166" s="376"/>
      <c r="J166" s="376"/>
      <c r="K166" s="376"/>
      <c r="L166" s="376"/>
      <c r="M166" s="376"/>
      <c r="N166" s="376"/>
    </row>
    <row r="167" spans="1:14" s="281" customFormat="1" ht="16.5" customHeight="1">
      <c r="A167" s="366" t="s">
        <v>488</v>
      </c>
      <c r="B167" s="365"/>
      <c r="C167" s="365"/>
      <c r="D167" s="365"/>
      <c r="E167" s="365"/>
      <c r="F167" s="364"/>
      <c r="G167" s="397">
        <f>SUM(G163)</f>
        <v>11.16</v>
      </c>
      <c r="H167" s="376"/>
      <c r="I167" s="376"/>
      <c r="J167" s="376"/>
      <c r="K167" s="376"/>
      <c r="L167" s="376"/>
      <c r="M167" s="376"/>
      <c r="N167" s="376"/>
    </row>
    <row r="168" spans="1:14" s="281" customFormat="1" ht="16.5" customHeight="1">
      <c r="A168" s="369" t="s">
        <v>486</v>
      </c>
      <c r="B168" s="368"/>
      <c r="C168" s="368"/>
      <c r="D168" s="368"/>
      <c r="E168" s="368"/>
      <c r="F168" s="367"/>
      <c r="G168" s="398">
        <f>SUM(G166:G167)</f>
        <v>73.07</v>
      </c>
      <c r="H168" s="394"/>
      <c r="I168" s="394"/>
      <c r="J168" s="394"/>
      <c r="K168" s="394"/>
      <c r="L168" s="394"/>
      <c r="M168" s="394"/>
      <c r="N168" s="394"/>
    </row>
    <row r="169" spans="1:14" s="281" customFormat="1" ht="16.5" customHeight="1">
      <c r="A169" s="366" t="s">
        <v>489</v>
      </c>
      <c r="B169" s="365"/>
      <c r="C169" s="365"/>
      <c r="D169" s="365"/>
      <c r="E169" s="365"/>
      <c r="F169" s="364"/>
      <c r="G169" s="397">
        <f>ROUND(G168*$H$8,2)</f>
        <v>21.39</v>
      </c>
      <c r="H169" s="376"/>
      <c r="I169" s="376"/>
      <c r="J169" s="376"/>
      <c r="K169" s="376"/>
      <c r="L169" s="376"/>
      <c r="M169" s="376"/>
      <c r="N169" s="376"/>
    </row>
    <row r="170" spans="1:14" s="281" customFormat="1" ht="16.5" customHeight="1">
      <c r="A170" s="369" t="s">
        <v>487</v>
      </c>
      <c r="B170" s="368"/>
      <c r="C170" s="368"/>
      <c r="D170" s="368"/>
      <c r="E170" s="368"/>
      <c r="F170" s="367"/>
      <c r="G170" s="398">
        <f>SUM(G168:G169)</f>
        <v>94.46</v>
      </c>
      <c r="H170" s="394"/>
      <c r="I170" s="394"/>
      <c r="J170" s="394"/>
      <c r="K170" s="394"/>
      <c r="L170" s="394"/>
      <c r="M170" s="394"/>
      <c r="N170" s="394"/>
    </row>
    <row r="171" spans="2:13" s="281" customFormat="1" ht="13.5">
      <c r="B171" s="284"/>
      <c r="E171" s="362"/>
      <c r="F171" s="362"/>
      <c r="G171" s="362"/>
      <c r="I171" s="362"/>
      <c r="J171" s="283"/>
      <c r="K171" s="282"/>
      <c r="L171" s="282"/>
      <c r="M171" s="282"/>
    </row>
    <row r="172" spans="1:9" s="272" customFormat="1" ht="44.25" customHeight="1">
      <c r="A172" s="390" t="str">
        <f>ORÇAMENTO!B30</f>
        <v>SINAPI</v>
      </c>
      <c r="B172" s="388" t="str">
        <f>ORÇAMENTO!C30</f>
        <v>92544</v>
      </c>
      <c r="C172" s="252" t="str">
        <f>ORÇAMENTO!D30</f>
        <v>TRAMA DE MADEIRA COMPOSTA POR TERÇAS PARA TELHADOS DE ATÉ 2 ÁGUAS PARA TELHA ESTRUTURAL DE FIBROCIMENTO, INCLUSO TRANSPORTE VERTICAL. AF_07/2019</v>
      </c>
      <c r="D172" s="252"/>
      <c r="E172" s="252"/>
      <c r="F172" s="391" t="s">
        <v>295</v>
      </c>
      <c r="G172" s="396" t="str">
        <f>ORÇAMENTO!E30</f>
        <v>M2</v>
      </c>
      <c r="H172" s="310">
        <f>ORÇAMENTO!L30</f>
        <v>14.91</v>
      </c>
      <c r="I172" s="163" t="s">
        <v>295</v>
      </c>
    </row>
    <row r="173" spans="1:9" s="291" customFormat="1" ht="16.5" customHeight="1">
      <c r="A173" s="391" t="s">
        <v>296</v>
      </c>
      <c r="B173" s="392" t="s">
        <v>102</v>
      </c>
      <c r="C173" s="391" t="s">
        <v>36</v>
      </c>
      <c r="D173" s="399" t="s">
        <v>297</v>
      </c>
      <c r="E173" s="400" t="s">
        <v>26</v>
      </c>
      <c r="F173" s="393" t="s">
        <v>298</v>
      </c>
      <c r="G173" s="393" t="s">
        <v>10</v>
      </c>
      <c r="I173" s="393" t="s">
        <v>298</v>
      </c>
    </row>
    <row r="174" spans="1:9" s="272" customFormat="1" ht="38.25">
      <c r="A174" s="382" t="s">
        <v>197</v>
      </c>
      <c r="B174" s="389" t="s">
        <v>536</v>
      </c>
      <c r="C174" s="383" t="s">
        <v>537</v>
      </c>
      <c r="D174" s="384" t="s">
        <v>304</v>
      </c>
      <c r="E174" s="385">
        <v>0.406</v>
      </c>
      <c r="F174" s="386">
        <f aca="true" t="shared" si="8" ref="F174:F179">ROUND(I174*$I$8,2)</f>
        <v>28.23</v>
      </c>
      <c r="G174" s="387">
        <f aca="true" t="shared" si="9" ref="G174:G179">ROUND(E174*F174,2)</f>
        <v>11.46</v>
      </c>
      <c r="I174" s="386">
        <v>28.3</v>
      </c>
    </row>
    <row r="175" spans="1:9" s="272" customFormat="1" ht="12.75">
      <c r="A175" s="382" t="s">
        <v>197</v>
      </c>
      <c r="B175" s="389" t="s">
        <v>538</v>
      </c>
      <c r="C175" s="383" t="s">
        <v>539</v>
      </c>
      <c r="D175" s="384" t="s">
        <v>305</v>
      </c>
      <c r="E175" s="385">
        <v>0.02</v>
      </c>
      <c r="F175" s="386">
        <f t="shared" si="8"/>
        <v>20.34</v>
      </c>
      <c r="G175" s="387">
        <f t="shared" si="9"/>
        <v>0.41</v>
      </c>
      <c r="I175" s="386">
        <v>20.39</v>
      </c>
    </row>
    <row r="176" spans="1:9" s="272" customFormat="1" ht="25.5">
      <c r="A176" s="382" t="s">
        <v>99</v>
      </c>
      <c r="B176" s="389" t="s">
        <v>514</v>
      </c>
      <c r="C176" s="383" t="s">
        <v>515</v>
      </c>
      <c r="D176" s="384" t="s">
        <v>103</v>
      </c>
      <c r="E176" s="385">
        <v>0.048</v>
      </c>
      <c r="F176" s="386">
        <f>ROUND(I176*$J$8,2)</f>
        <v>17.26</v>
      </c>
      <c r="G176" s="387">
        <f t="shared" si="9"/>
        <v>0.83</v>
      </c>
      <c r="I176" s="386">
        <v>17.41</v>
      </c>
    </row>
    <row r="177" spans="1:9" s="272" customFormat="1" ht="25.5">
      <c r="A177" s="382" t="s">
        <v>99</v>
      </c>
      <c r="B177" s="389" t="s">
        <v>206</v>
      </c>
      <c r="C177" s="383" t="s">
        <v>207</v>
      </c>
      <c r="D177" s="384" t="s">
        <v>103</v>
      </c>
      <c r="E177" s="385">
        <v>0.099</v>
      </c>
      <c r="F177" s="386">
        <f>ROUND(I177*$J$8,2)</f>
        <v>20.89</v>
      </c>
      <c r="G177" s="387">
        <f t="shared" si="9"/>
        <v>2.07</v>
      </c>
      <c r="I177" s="386">
        <v>21.07</v>
      </c>
    </row>
    <row r="178" spans="1:9" s="272" customFormat="1" ht="38.25">
      <c r="A178" s="382" t="s">
        <v>99</v>
      </c>
      <c r="B178" s="389" t="s">
        <v>505</v>
      </c>
      <c r="C178" s="383" t="s">
        <v>506</v>
      </c>
      <c r="D178" s="384" t="s">
        <v>213</v>
      </c>
      <c r="E178" s="385">
        <v>0.003</v>
      </c>
      <c r="F178" s="386">
        <f t="shared" si="8"/>
        <v>19.5</v>
      </c>
      <c r="G178" s="387">
        <f t="shared" si="9"/>
        <v>0.06</v>
      </c>
      <c r="I178" s="386">
        <v>19.54</v>
      </c>
    </row>
    <row r="179" spans="1:9" s="272" customFormat="1" ht="38.25">
      <c r="A179" s="382" t="s">
        <v>99</v>
      </c>
      <c r="B179" s="389" t="s">
        <v>507</v>
      </c>
      <c r="C179" s="383" t="s">
        <v>508</v>
      </c>
      <c r="D179" s="384" t="s">
        <v>509</v>
      </c>
      <c r="E179" s="385">
        <v>0.0041</v>
      </c>
      <c r="F179" s="386">
        <f t="shared" si="8"/>
        <v>18.37</v>
      </c>
      <c r="G179" s="387">
        <f t="shared" si="9"/>
        <v>0.08</v>
      </c>
      <c r="I179" s="386">
        <v>18.41</v>
      </c>
    </row>
    <row r="180" spans="1:14" s="281" customFormat="1" ht="16.5" customHeight="1">
      <c r="A180" s="366" t="s">
        <v>485</v>
      </c>
      <c r="B180" s="365"/>
      <c r="C180" s="365"/>
      <c r="D180" s="365"/>
      <c r="E180" s="365"/>
      <c r="F180" s="364"/>
      <c r="G180" s="397">
        <f>SUM(G174:G175,G178:G179)</f>
        <v>12.010000000000002</v>
      </c>
      <c r="H180" s="376"/>
      <c r="I180" s="376"/>
      <c r="J180" s="376"/>
      <c r="K180" s="376"/>
      <c r="L180" s="376"/>
      <c r="M180" s="376"/>
      <c r="N180" s="376"/>
    </row>
    <row r="181" spans="1:14" s="281" customFormat="1" ht="16.5" customHeight="1">
      <c r="A181" s="366" t="s">
        <v>488</v>
      </c>
      <c r="B181" s="365"/>
      <c r="C181" s="365"/>
      <c r="D181" s="365"/>
      <c r="E181" s="365"/>
      <c r="F181" s="364"/>
      <c r="G181" s="397">
        <f>SUM(G176:G177)</f>
        <v>2.9</v>
      </c>
      <c r="H181" s="376"/>
      <c r="I181" s="376"/>
      <c r="J181" s="376"/>
      <c r="K181" s="376"/>
      <c r="L181" s="376"/>
      <c r="M181" s="376"/>
      <c r="N181" s="376"/>
    </row>
    <row r="182" spans="1:14" s="281" customFormat="1" ht="16.5" customHeight="1">
      <c r="A182" s="369" t="s">
        <v>486</v>
      </c>
      <c r="B182" s="368"/>
      <c r="C182" s="368"/>
      <c r="D182" s="368"/>
      <c r="E182" s="368"/>
      <c r="F182" s="367"/>
      <c r="G182" s="398">
        <f>SUM(G180:G181)</f>
        <v>14.910000000000002</v>
      </c>
      <c r="H182" s="394"/>
      <c r="I182" s="394"/>
      <c r="J182" s="394"/>
      <c r="K182" s="394"/>
      <c r="L182" s="394"/>
      <c r="M182" s="394"/>
      <c r="N182" s="394"/>
    </row>
    <row r="183" spans="1:14" s="281" customFormat="1" ht="16.5" customHeight="1">
      <c r="A183" s="366" t="s">
        <v>489</v>
      </c>
      <c r="B183" s="365"/>
      <c r="C183" s="365"/>
      <c r="D183" s="365"/>
      <c r="E183" s="365"/>
      <c r="F183" s="364"/>
      <c r="G183" s="397">
        <f>ROUND(G182*$H$8,2)</f>
        <v>4.36</v>
      </c>
      <c r="H183" s="376"/>
      <c r="I183" s="376"/>
      <c r="J183" s="376"/>
      <c r="K183" s="376"/>
      <c r="L183" s="376"/>
      <c r="M183" s="376"/>
      <c r="N183" s="376"/>
    </row>
    <row r="184" spans="1:14" s="281" customFormat="1" ht="16.5" customHeight="1">
      <c r="A184" s="369" t="s">
        <v>487</v>
      </c>
      <c r="B184" s="368"/>
      <c r="C184" s="368"/>
      <c r="D184" s="368"/>
      <c r="E184" s="368"/>
      <c r="F184" s="367"/>
      <c r="G184" s="398">
        <f>SUM(G182:G183)</f>
        <v>19.270000000000003</v>
      </c>
      <c r="H184" s="394"/>
      <c r="I184" s="394"/>
      <c r="J184" s="394"/>
      <c r="K184" s="394"/>
      <c r="L184" s="394"/>
      <c r="M184" s="394"/>
      <c r="N184" s="394"/>
    </row>
    <row r="185" spans="2:13" s="281" customFormat="1" ht="13.5">
      <c r="B185" s="284"/>
      <c r="E185" s="362"/>
      <c r="F185" s="362"/>
      <c r="G185" s="362"/>
      <c r="I185" s="362"/>
      <c r="J185" s="283"/>
      <c r="K185" s="282"/>
      <c r="L185" s="282"/>
      <c r="M185" s="282"/>
    </row>
    <row r="186" spans="1:9" s="272" customFormat="1" ht="44.25" customHeight="1">
      <c r="A186" s="390" t="str">
        <f>ORÇAMENTO!B31</f>
        <v>SINAPI</v>
      </c>
      <c r="B186" s="388" t="str">
        <f>ORÇAMENTO!C31</f>
        <v>94446</v>
      </c>
      <c r="C186" s="252" t="str">
        <f>ORÇAMENTO!D31</f>
        <v>TELHAMENTO COM TELHA CERÂMICA CAPA-CANAL, TIPO PLAN, COM MAIS DE 2 ÁGUAS, INCLUSO TRANSPORTE VERTICAL. AF_07/2019</v>
      </c>
      <c r="D186" s="252"/>
      <c r="E186" s="252"/>
      <c r="F186" s="391" t="s">
        <v>295</v>
      </c>
      <c r="G186" s="396" t="str">
        <f>ORÇAMENTO!E31</f>
        <v>M2</v>
      </c>
      <c r="H186" s="310">
        <f>ORÇAMENTO!L31</f>
        <v>48.86</v>
      </c>
      <c r="I186" s="163" t="s">
        <v>295</v>
      </c>
    </row>
    <row r="187" spans="1:9" s="291" customFormat="1" ht="16.5" customHeight="1">
      <c r="A187" s="391" t="s">
        <v>296</v>
      </c>
      <c r="B187" s="392" t="s">
        <v>102</v>
      </c>
      <c r="C187" s="391" t="s">
        <v>36</v>
      </c>
      <c r="D187" s="399" t="s">
        <v>297</v>
      </c>
      <c r="E187" s="400" t="s">
        <v>26</v>
      </c>
      <c r="F187" s="393" t="s">
        <v>298</v>
      </c>
      <c r="G187" s="393" t="s">
        <v>10</v>
      </c>
      <c r="I187" s="393" t="s">
        <v>298</v>
      </c>
    </row>
    <row r="188" spans="1:9" s="272" customFormat="1" ht="51">
      <c r="A188" s="382" t="s">
        <v>197</v>
      </c>
      <c r="B188" s="389" t="s">
        <v>500</v>
      </c>
      <c r="C188" s="383" t="s">
        <v>501</v>
      </c>
      <c r="D188" s="384" t="s">
        <v>502</v>
      </c>
      <c r="E188" s="385">
        <v>0.0275</v>
      </c>
      <c r="F188" s="386">
        <f>ROUND(I188*$I$8,2)</f>
        <v>1197.24</v>
      </c>
      <c r="G188" s="387">
        <f>ROUND(E188*F188,2)</f>
        <v>32.92</v>
      </c>
      <c r="I188" s="386">
        <v>1200</v>
      </c>
    </row>
    <row r="189" spans="1:9" s="272" customFormat="1" ht="12.75">
      <c r="A189" s="382" t="s">
        <v>99</v>
      </c>
      <c r="B189" s="389" t="s">
        <v>208</v>
      </c>
      <c r="C189" s="383" t="s">
        <v>209</v>
      </c>
      <c r="D189" s="384" t="s">
        <v>103</v>
      </c>
      <c r="E189" s="385">
        <v>0.521</v>
      </c>
      <c r="F189" s="386">
        <f>ROUND(I189*$J$8,2)</f>
        <v>16.94</v>
      </c>
      <c r="G189" s="387">
        <f>ROUND(E189*F189,2)</f>
        <v>8.83</v>
      </c>
      <c r="I189" s="386">
        <v>17.09</v>
      </c>
    </row>
    <row r="190" spans="1:9" s="272" customFormat="1" ht="12.75">
      <c r="A190" s="382" t="s">
        <v>99</v>
      </c>
      <c r="B190" s="389" t="s">
        <v>503</v>
      </c>
      <c r="C190" s="383" t="s">
        <v>504</v>
      </c>
      <c r="D190" s="384" t="s">
        <v>103</v>
      </c>
      <c r="E190" s="385">
        <v>0.254</v>
      </c>
      <c r="F190" s="386">
        <f>ROUND(I190*$J$8,2)</f>
        <v>20.7</v>
      </c>
      <c r="G190" s="387">
        <f>ROUND(E190*F190,2)</f>
        <v>5.26</v>
      </c>
      <c r="I190" s="386">
        <v>20.88</v>
      </c>
    </row>
    <row r="191" spans="1:9" s="272" customFormat="1" ht="38.25">
      <c r="A191" s="382" t="s">
        <v>99</v>
      </c>
      <c r="B191" s="389" t="s">
        <v>505</v>
      </c>
      <c r="C191" s="383" t="s">
        <v>506</v>
      </c>
      <c r="D191" s="384" t="s">
        <v>213</v>
      </c>
      <c r="E191" s="385">
        <v>0.0372</v>
      </c>
      <c r="F191" s="386">
        <f>ROUND(I191*$I$8,2)</f>
        <v>19.5</v>
      </c>
      <c r="G191" s="387">
        <f>ROUND(E191*F191,2)</f>
        <v>0.73</v>
      </c>
      <c r="I191" s="386">
        <v>19.54</v>
      </c>
    </row>
    <row r="192" spans="1:9" s="272" customFormat="1" ht="38.25">
      <c r="A192" s="382" t="s">
        <v>99</v>
      </c>
      <c r="B192" s="389" t="s">
        <v>507</v>
      </c>
      <c r="C192" s="383" t="s">
        <v>508</v>
      </c>
      <c r="D192" s="384" t="s">
        <v>509</v>
      </c>
      <c r="E192" s="385">
        <v>0.0516</v>
      </c>
      <c r="F192" s="386">
        <f>ROUND(I192*$I$8,2)</f>
        <v>18.37</v>
      </c>
      <c r="G192" s="387">
        <f>ROUND(E192*F192,2)</f>
        <v>0.95</v>
      </c>
      <c r="I192" s="386">
        <v>18.41</v>
      </c>
    </row>
    <row r="193" spans="1:14" s="281" customFormat="1" ht="16.5" customHeight="1">
      <c r="A193" s="366" t="s">
        <v>485</v>
      </c>
      <c r="B193" s="365"/>
      <c r="C193" s="365"/>
      <c r="D193" s="365"/>
      <c r="E193" s="365"/>
      <c r="F193" s="364"/>
      <c r="G193" s="397">
        <f>SUM(G188,G191:G192)</f>
        <v>34.6</v>
      </c>
      <c r="H193" s="376"/>
      <c r="I193" s="376"/>
      <c r="J193" s="376"/>
      <c r="K193" s="376"/>
      <c r="L193" s="376"/>
      <c r="M193" s="376"/>
      <c r="N193" s="376"/>
    </row>
    <row r="194" spans="1:14" s="281" customFormat="1" ht="16.5" customHeight="1">
      <c r="A194" s="366" t="s">
        <v>488</v>
      </c>
      <c r="B194" s="365"/>
      <c r="C194" s="365"/>
      <c r="D194" s="365"/>
      <c r="E194" s="365"/>
      <c r="F194" s="364"/>
      <c r="G194" s="397">
        <f>SUM(G189:G190)</f>
        <v>14.09</v>
      </c>
      <c r="H194" s="376"/>
      <c r="I194" s="376"/>
      <c r="J194" s="376"/>
      <c r="K194" s="376"/>
      <c r="L194" s="376"/>
      <c r="M194" s="376"/>
      <c r="N194" s="376"/>
    </row>
    <row r="195" spans="1:14" s="281" customFormat="1" ht="16.5" customHeight="1">
      <c r="A195" s="369" t="s">
        <v>486</v>
      </c>
      <c r="B195" s="368"/>
      <c r="C195" s="368"/>
      <c r="D195" s="368"/>
      <c r="E195" s="368"/>
      <c r="F195" s="367"/>
      <c r="G195" s="398">
        <f>SUM(G193:G194)</f>
        <v>48.69</v>
      </c>
      <c r="H195" s="394"/>
      <c r="I195" s="394"/>
      <c r="J195" s="394"/>
      <c r="K195" s="394"/>
      <c r="L195" s="394"/>
      <c r="M195" s="394"/>
      <c r="N195" s="394"/>
    </row>
    <row r="196" spans="1:14" s="281" customFormat="1" ht="16.5" customHeight="1">
      <c r="A196" s="366" t="s">
        <v>489</v>
      </c>
      <c r="B196" s="365"/>
      <c r="C196" s="365"/>
      <c r="D196" s="365"/>
      <c r="E196" s="365"/>
      <c r="F196" s="364"/>
      <c r="G196" s="397">
        <f>ROUND(G195*$H$8,2)</f>
        <v>14.25</v>
      </c>
      <c r="H196" s="376"/>
      <c r="I196" s="376"/>
      <c r="J196" s="376"/>
      <c r="K196" s="376"/>
      <c r="L196" s="376"/>
      <c r="M196" s="376"/>
      <c r="N196" s="376"/>
    </row>
    <row r="197" spans="1:14" s="281" customFormat="1" ht="16.5" customHeight="1">
      <c r="A197" s="369" t="s">
        <v>487</v>
      </c>
      <c r="B197" s="368"/>
      <c r="C197" s="368"/>
      <c r="D197" s="368"/>
      <c r="E197" s="368"/>
      <c r="F197" s="367"/>
      <c r="G197" s="398">
        <f>SUM(G195:G196)</f>
        <v>62.94</v>
      </c>
      <c r="H197" s="394"/>
      <c r="I197" s="394"/>
      <c r="J197" s="394"/>
      <c r="K197" s="394"/>
      <c r="L197" s="394"/>
      <c r="M197" s="394"/>
      <c r="N197" s="394"/>
    </row>
    <row r="198" spans="2:13" s="281" customFormat="1" ht="13.5">
      <c r="B198" s="284"/>
      <c r="E198" s="362"/>
      <c r="F198" s="362"/>
      <c r="G198" s="362"/>
      <c r="I198" s="362"/>
      <c r="J198" s="283"/>
      <c r="K198" s="282"/>
      <c r="L198" s="282"/>
      <c r="M198" s="282"/>
    </row>
    <row r="199" spans="1:9" s="272" customFormat="1" ht="32.25" customHeight="1">
      <c r="A199" s="390" t="str">
        <f>ORÇAMENTO!B32</f>
        <v>SEDOP</v>
      </c>
      <c r="B199" s="388" t="str">
        <f>ORÇAMENTO!C32</f>
        <v>71364</v>
      </c>
      <c r="C199" s="252" t="str">
        <f>ORÇAMENTO!D32</f>
        <v>Cobertura em policarbonato Incolor- Incl. estr. metálica</v>
      </c>
      <c r="D199" s="252"/>
      <c r="E199" s="252"/>
      <c r="F199" s="391" t="s">
        <v>295</v>
      </c>
      <c r="G199" s="396" t="str">
        <f>ORÇAMENTO!E32</f>
        <v>M2</v>
      </c>
      <c r="H199" s="310">
        <f>ORÇAMENTO!L32</f>
        <v>485</v>
      </c>
      <c r="I199" s="163" t="s">
        <v>295</v>
      </c>
    </row>
    <row r="200" spans="1:9" s="291" customFormat="1" ht="16.5" customHeight="1">
      <c r="A200" s="391" t="s">
        <v>296</v>
      </c>
      <c r="B200" s="392" t="s">
        <v>102</v>
      </c>
      <c r="C200" s="391" t="s">
        <v>36</v>
      </c>
      <c r="D200" s="399" t="s">
        <v>297</v>
      </c>
      <c r="E200" s="400" t="s">
        <v>26</v>
      </c>
      <c r="F200" s="393" t="s">
        <v>298</v>
      </c>
      <c r="G200" s="393" t="s">
        <v>10</v>
      </c>
      <c r="I200" s="393" t="s">
        <v>298</v>
      </c>
    </row>
    <row r="201" spans="1:9" s="272" customFormat="1" ht="25.5">
      <c r="A201" s="382" t="s">
        <v>220</v>
      </c>
      <c r="B201" s="389" t="s">
        <v>540</v>
      </c>
      <c r="C201" s="383" t="s">
        <v>541</v>
      </c>
      <c r="D201" s="384" t="s">
        <v>177</v>
      </c>
      <c r="E201" s="385">
        <v>1</v>
      </c>
      <c r="F201" s="386">
        <f>ROUND(I201*$I$8,2)</f>
        <v>483.88</v>
      </c>
      <c r="G201" s="387">
        <f>ROUND(E201*F201,2)</f>
        <v>483.88</v>
      </c>
      <c r="I201" s="386">
        <v>485</v>
      </c>
    </row>
    <row r="202" spans="1:14" s="281" customFormat="1" ht="16.5" customHeight="1">
      <c r="A202" s="366" t="s">
        <v>485</v>
      </c>
      <c r="B202" s="365"/>
      <c r="C202" s="365"/>
      <c r="D202" s="365"/>
      <c r="E202" s="365"/>
      <c r="F202" s="364"/>
      <c r="G202" s="397">
        <f>ROUND(G201*0.6,2)</f>
        <v>290.33</v>
      </c>
      <c r="H202" s="376"/>
      <c r="I202" s="376"/>
      <c r="J202" s="376"/>
      <c r="K202" s="376"/>
      <c r="L202" s="376"/>
      <c r="M202" s="376"/>
      <c r="N202" s="376"/>
    </row>
    <row r="203" spans="1:14" s="281" customFormat="1" ht="16.5" customHeight="1">
      <c r="A203" s="366" t="s">
        <v>488</v>
      </c>
      <c r="B203" s="365"/>
      <c r="C203" s="365"/>
      <c r="D203" s="365"/>
      <c r="E203" s="365"/>
      <c r="F203" s="364"/>
      <c r="G203" s="397">
        <f>ROUND(G201*0.4,2)</f>
        <v>193.55</v>
      </c>
      <c r="H203" s="376"/>
      <c r="I203" s="376"/>
      <c r="J203" s="376"/>
      <c r="K203" s="376"/>
      <c r="L203" s="376"/>
      <c r="M203" s="376"/>
      <c r="N203" s="376"/>
    </row>
    <row r="204" spans="1:14" s="281" customFormat="1" ht="16.5" customHeight="1">
      <c r="A204" s="369" t="s">
        <v>486</v>
      </c>
      <c r="B204" s="368"/>
      <c r="C204" s="368"/>
      <c r="D204" s="368"/>
      <c r="E204" s="368"/>
      <c r="F204" s="367"/>
      <c r="G204" s="398">
        <f>SUM(G202:G203)</f>
        <v>483.88</v>
      </c>
      <c r="H204" s="394"/>
      <c r="I204" s="394"/>
      <c r="J204" s="394"/>
      <c r="K204" s="394"/>
      <c r="L204" s="394"/>
      <c r="M204" s="394"/>
      <c r="N204" s="394"/>
    </row>
    <row r="205" spans="1:14" s="281" customFormat="1" ht="16.5" customHeight="1">
      <c r="A205" s="366" t="s">
        <v>489</v>
      </c>
      <c r="B205" s="365"/>
      <c r="C205" s="365"/>
      <c r="D205" s="365"/>
      <c r="E205" s="365"/>
      <c r="F205" s="364"/>
      <c r="G205" s="397">
        <f>ROUND(G204*$H$8,2)</f>
        <v>141.63</v>
      </c>
      <c r="H205" s="376"/>
      <c r="I205" s="376"/>
      <c r="J205" s="376"/>
      <c r="K205" s="376"/>
      <c r="L205" s="376"/>
      <c r="M205" s="376"/>
      <c r="N205" s="376"/>
    </row>
    <row r="206" spans="1:14" s="281" customFormat="1" ht="16.5" customHeight="1">
      <c r="A206" s="369" t="s">
        <v>487</v>
      </c>
      <c r="B206" s="368"/>
      <c r="C206" s="368"/>
      <c r="D206" s="368"/>
      <c r="E206" s="368"/>
      <c r="F206" s="367"/>
      <c r="G206" s="398">
        <f>SUM(G204:G205)</f>
        <v>625.51</v>
      </c>
      <c r="H206" s="394"/>
      <c r="I206" s="394"/>
      <c r="J206" s="394"/>
      <c r="K206" s="394"/>
      <c r="L206" s="394"/>
      <c r="M206" s="394"/>
      <c r="N206" s="394"/>
    </row>
    <row r="207" spans="2:13" s="281" customFormat="1" ht="13.5">
      <c r="B207" s="284"/>
      <c r="E207" s="362"/>
      <c r="F207" s="362"/>
      <c r="G207" s="362"/>
      <c r="I207" s="362"/>
      <c r="J207" s="283"/>
      <c r="K207" s="282"/>
      <c r="L207" s="282"/>
      <c r="M207" s="282"/>
    </row>
    <row r="208" spans="1:9" s="272" customFormat="1" ht="44.25" customHeight="1">
      <c r="A208" s="390" t="str">
        <f>ORÇAMENTO!B34</f>
        <v>SINAPI</v>
      </c>
      <c r="B208" s="388" t="str">
        <f>ORÇAMENTO!C34</f>
        <v>87530</v>
      </c>
      <c r="C208" s="252" t="str">
        <f>ORÇAMENTO!D34</f>
        <v>MASSA ÚNICA, PARA RECEBIMENTO DE PINTURA, EM ARGAMASSA TRAÇO 1:2:8, PREPARO MANUAL, APLICADA MANUALMENTE EM FACES INTERNAS DE PAREDES, ESPESSURA DE 20MM, COM EXECUÇÃO DE TALISCAS. AF_06/2014</v>
      </c>
      <c r="D208" s="252"/>
      <c r="E208" s="252"/>
      <c r="F208" s="391" t="s">
        <v>295</v>
      </c>
      <c r="G208" s="396" t="str">
        <f>ORÇAMENTO!E34</f>
        <v>M2</v>
      </c>
      <c r="H208" s="310">
        <f>ORÇAMENTO!L34</f>
        <v>43.12</v>
      </c>
      <c r="I208" s="163" t="s">
        <v>295</v>
      </c>
    </row>
    <row r="209" spans="1:9" s="291" customFormat="1" ht="16.5" customHeight="1">
      <c r="A209" s="391" t="s">
        <v>296</v>
      </c>
      <c r="B209" s="392" t="s">
        <v>102</v>
      </c>
      <c r="C209" s="391" t="s">
        <v>36</v>
      </c>
      <c r="D209" s="399" t="s">
        <v>297</v>
      </c>
      <c r="E209" s="400" t="s">
        <v>26</v>
      </c>
      <c r="F209" s="393" t="s">
        <v>298</v>
      </c>
      <c r="G209" s="393" t="s">
        <v>10</v>
      </c>
      <c r="I209" s="393" t="s">
        <v>298</v>
      </c>
    </row>
    <row r="210" spans="1:9" s="272" customFormat="1" ht="51">
      <c r="A210" s="382" t="s">
        <v>99</v>
      </c>
      <c r="B210" s="389" t="s">
        <v>542</v>
      </c>
      <c r="C210" s="383" t="s">
        <v>543</v>
      </c>
      <c r="D210" s="384" t="s">
        <v>180</v>
      </c>
      <c r="E210" s="385">
        <v>0.0376</v>
      </c>
      <c r="F210" s="386">
        <f>ROUND(I210*$I$8,2)</f>
        <v>801.26</v>
      </c>
      <c r="G210" s="387">
        <f>ROUND(E210*F210,2)</f>
        <v>30.13</v>
      </c>
      <c r="I210" s="386">
        <v>803.11</v>
      </c>
    </row>
    <row r="211" spans="1:9" s="272" customFormat="1" ht="12.75">
      <c r="A211" s="382" t="s">
        <v>99</v>
      </c>
      <c r="B211" s="389" t="s">
        <v>448</v>
      </c>
      <c r="C211" s="383" t="s">
        <v>449</v>
      </c>
      <c r="D211" s="384" t="s">
        <v>103</v>
      </c>
      <c r="E211" s="385">
        <v>0.47</v>
      </c>
      <c r="F211" s="386">
        <f>ROUND(I211*$J$8,2)</f>
        <v>21.13</v>
      </c>
      <c r="G211" s="387">
        <f>ROUND(E211*F211,2)</f>
        <v>9.93</v>
      </c>
      <c r="I211" s="386">
        <v>21.31</v>
      </c>
    </row>
    <row r="212" spans="1:9" s="272" customFormat="1" ht="12.75">
      <c r="A212" s="382" t="s">
        <v>99</v>
      </c>
      <c r="B212" s="389" t="s">
        <v>208</v>
      </c>
      <c r="C212" s="383" t="s">
        <v>209</v>
      </c>
      <c r="D212" s="384" t="s">
        <v>103</v>
      </c>
      <c r="E212" s="385">
        <v>0.171</v>
      </c>
      <c r="F212" s="386">
        <f>ROUND(I212*$J$8,2)</f>
        <v>16.94</v>
      </c>
      <c r="G212" s="387">
        <f>ROUND(E212*F212,2)</f>
        <v>2.9</v>
      </c>
      <c r="I212" s="386">
        <v>17.09</v>
      </c>
    </row>
    <row r="213" spans="1:14" s="281" customFormat="1" ht="16.5" customHeight="1">
      <c r="A213" s="366" t="s">
        <v>485</v>
      </c>
      <c r="B213" s="365"/>
      <c r="C213" s="365"/>
      <c r="D213" s="365"/>
      <c r="E213" s="365"/>
      <c r="F213" s="364"/>
      <c r="G213" s="397">
        <f>SUM(G210)</f>
        <v>30.13</v>
      </c>
      <c r="H213" s="376"/>
      <c r="I213" s="376"/>
      <c r="J213" s="376"/>
      <c r="K213" s="376"/>
      <c r="L213" s="376"/>
      <c r="M213" s="376"/>
      <c r="N213" s="376"/>
    </row>
    <row r="214" spans="1:14" s="281" customFormat="1" ht="16.5" customHeight="1">
      <c r="A214" s="366" t="s">
        <v>488</v>
      </c>
      <c r="B214" s="365"/>
      <c r="C214" s="365"/>
      <c r="D214" s="365"/>
      <c r="E214" s="365"/>
      <c r="F214" s="364"/>
      <c r="G214" s="397">
        <f>SUM(G211:G212)</f>
        <v>12.83</v>
      </c>
      <c r="H214" s="376"/>
      <c r="I214" s="376"/>
      <c r="J214" s="376"/>
      <c r="K214" s="376"/>
      <c r="L214" s="376"/>
      <c r="M214" s="376"/>
      <c r="N214" s="376"/>
    </row>
    <row r="215" spans="1:14" s="281" customFormat="1" ht="16.5" customHeight="1">
      <c r="A215" s="369" t="s">
        <v>486</v>
      </c>
      <c r="B215" s="368"/>
      <c r="C215" s="368"/>
      <c r="D215" s="368"/>
      <c r="E215" s="368"/>
      <c r="F215" s="367"/>
      <c r="G215" s="398">
        <f>SUM(G213:G214)</f>
        <v>42.96</v>
      </c>
      <c r="H215" s="394"/>
      <c r="I215" s="394"/>
      <c r="J215" s="394"/>
      <c r="K215" s="394"/>
      <c r="L215" s="394"/>
      <c r="M215" s="394"/>
      <c r="N215" s="394"/>
    </row>
    <row r="216" spans="1:14" s="281" customFormat="1" ht="16.5" customHeight="1">
      <c r="A216" s="366" t="s">
        <v>489</v>
      </c>
      <c r="B216" s="365"/>
      <c r="C216" s="365"/>
      <c r="D216" s="365"/>
      <c r="E216" s="365"/>
      <c r="F216" s="364"/>
      <c r="G216" s="397">
        <f>ROUND(G215*$H$8,2)</f>
        <v>12.57</v>
      </c>
      <c r="H216" s="376"/>
      <c r="I216" s="376"/>
      <c r="J216" s="376"/>
      <c r="K216" s="376"/>
      <c r="L216" s="376"/>
      <c r="M216" s="376"/>
      <c r="N216" s="376"/>
    </row>
    <row r="217" spans="1:14" s="281" customFormat="1" ht="16.5" customHeight="1">
      <c r="A217" s="369" t="s">
        <v>487</v>
      </c>
      <c r="B217" s="368"/>
      <c r="C217" s="368"/>
      <c r="D217" s="368"/>
      <c r="E217" s="368"/>
      <c r="F217" s="367"/>
      <c r="G217" s="398">
        <f>SUM(G215:G216)</f>
        <v>55.53</v>
      </c>
      <c r="H217" s="394"/>
      <c r="I217" s="394"/>
      <c r="J217" s="394"/>
      <c r="K217" s="394"/>
      <c r="L217" s="394"/>
      <c r="M217" s="394"/>
      <c r="N217" s="394"/>
    </row>
    <row r="218" spans="2:13" s="281" customFormat="1" ht="13.5">
      <c r="B218" s="284"/>
      <c r="E218" s="362"/>
      <c r="F218" s="362"/>
      <c r="G218" s="362"/>
      <c r="I218" s="362"/>
      <c r="J218" s="283"/>
      <c r="K218" s="282"/>
      <c r="L218" s="282"/>
      <c r="M218" s="282"/>
    </row>
    <row r="219" spans="1:9" s="272" customFormat="1" ht="44.25" customHeight="1">
      <c r="A219" s="390" t="str">
        <f>ORÇAMENTO!B35</f>
        <v>SINAPI</v>
      </c>
      <c r="B219" s="388" t="str">
        <f>ORÇAMENTO!C35</f>
        <v>87274</v>
      </c>
      <c r="C219" s="252" t="str">
        <f>ORÇAMENTO!D35</f>
        <v>REVESTIMENTO CERÂMICO PARA PAREDES INTERNAS COM PLACAS TIPO ESMALTADA EXTRA DE DIMENSÕES 33X45 CM APLICADAS EM AMBIENTES DE ÁREA MENOR QUE 5 M² A MEIA ALTURA DAS PAREDES. AF_06/2014</v>
      </c>
      <c r="D219" s="252"/>
      <c r="E219" s="252"/>
      <c r="F219" s="391" t="s">
        <v>295</v>
      </c>
      <c r="G219" s="396" t="str">
        <f>ORÇAMENTO!E35</f>
        <v>M2</v>
      </c>
      <c r="H219" s="310">
        <f>ORÇAMENTO!L35</f>
        <v>73.42</v>
      </c>
      <c r="I219" s="163" t="s">
        <v>295</v>
      </c>
    </row>
    <row r="220" spans="1:9" s="291" customFormat="1" ht="16.5" customHeight="1">
      <c r="A220" s="391" t="s">
        <v>296</v>
      </c>
      <c r="B220" s="392" t="s">
        <v>102</v>
      </c>
      <c r="C220" s="391" t="s">
        <v>36</v>
      </c>
      <c r="D220" s="399" t="s">
        <v>297</v>
      </c>
      <c r="E220" s="400" t="s">
        <v>26</v>
      </c>
      <c r="F220" s="393" t="s">
        <v>298</v>
      </c>
      <c r="G220" s="393" t="s">
        <v>10</v>
      </c>
      <c r="I220" s="393" t="s">
        <v>298</v>
      </c>
    </row>
    <row r="221" spans="1:9" s="272" customFormat="1" ht="38.25">
      <c r="A221" s="382" t="s">
        <v>197</v>
      </c>
      <c r="B221" s="389" t="s">
        <v>544</v>
      </c>
      <c r="C221" s="383" t="s">
        <v>545</v>
      </c>
      <c r="D221" s="384" t="s">
        <v>176</v>
      </c>
      <c r="E221" s="385">
        <v>1.09</v>
      </c>
      <c r="F221" s="386">
        <f>ROUND(I221*$I$8,2)</f>
        <v>34.82</v>
      </c>
      <c r="G221" s="387">
        <f>ROUND(E221*F221,2)</f>
        <v>37.95</v>
      </c>
      <c r="I221" s="386">
        <v>34.9</v>
      </c>
    </row>
    <row r="222" spans="1:9" s="272" customFormat="1" ht="12.75">
      <c r="A222" s="382" t="s">
        <v>197</v>
      </c>
      <c r="B222" s="389" t="s">
        <v>546</v>
      </c>
      <c r="C222" s="383" t="s">
        <v>547</v>
      </c>
      <c r="D222" s="384" t="s">
        <v>305</v>
      </c>
      <c r="E222" s="385">
        <v>6.14</v>
      </c>
      <c r="F222" s="386">
        <f>ROUND(I222*$I$8,2)</f>
        <v>0.7</v>
      </c>
      <c r="G222" s="387">
        <f>ROUND(E222*F222,2)</f>
        <v>4.3</v>
      </c>
      <c r="I222" s="386">
        <v>0.7</v>
      </c>
    </row>
    <row r="223" spans="1:9" s="272" customFormat="1" ht="12.75">
      <c r="A223" s="382" t="s">
        <v>197</v>
      </c>
      <c r="B223" s="389" t="s">
        <v>548</v>
      </c>
      <c r="C223" s="383" t="s">
        <v>549</v>
      </c>
      <c r="D223" s="384" t="s">
        <v>305</v>
      </c>
      <c r="E223" s="385">
        <v>0.22</v>
      </c>
      <c r="F223" s="386">
        <f>ROUND(I223*$I$8,2)</f>
        <v>4.1</v>
      </c>
      <c r="G223" s="387">
        <f>ROUND(E223*F223,2)</f>
        <v>0.9</v>
      </c>
      <c r="I223" s="386">
        <v>4.11</v>
      </c>
    </row>
    <row r="224" spans="1:9" s="272" customFormat="1" ht="25.5">
      <c r="A224" s="382" t="s">
        <v>99</v>
      </c>
      <c r="B224" s="389" t="s">
        <v>524</v>
      </c>
      <c r="C224" s="383" t="s">
        <v>525</v>
      </c>
      <c r="D224" s="384" t="s">
        <v>103</v>
      </c>
      <c r="E224" s="385">
        <v>1.02</v>
      </c>
      <c r="F224" s="386">
        <f>ROUND(I224*$J$8,2)</f>
        <v>21.05</v>
      </c>
      <c r="G224" s="387">
        <f>ROUND(E224*F224,2)</f>
        <v>21.47</v>
      </c>
      <c r="I224" s="386">
        <v>21.23</v>
      </c>
    </row>
    <row r="225" spans="1:9" s="272" customFormat="1" ht="12.75">
      <c r="A225" s="382" t="s">
        <v>99</v>
      </c>
      <c r="B225" s="389" t="s">
        <v>208</v>
      </c>
      <c r="C225" s="383" t="s">
        <v>209</v>
      </c>
      <c r="D225" s="384" t="s">
        <v>103</v>
      </c>
      <c r="E225" s="385">
        <v>0.5</v>
      </c>
      <c r="F225" s="386">
        <f>ROUND(I225*$J$8,2)</f>
        <v>16.94</v>
      </c>
      <c r="G225" s="387">
        <f>ROUND(E225*F225,2)</f>
        <v>8.47</v>
      </c>
      <c r="I225" s="386">
        <v>17.09</v>
      </c>
    </row>
    <row r="226" spans="1:14" s="281" customFormat="1" ht="16.5" customHeight="1">
      <c r="A226" s="366" t="s">
        <v>485</v>
      </c>
      <c r="B226" s="365"/>
      <c r="C226" s="365"/>
      <c r="D226" s="365"/>
      <c r="E226" s="365"/>
      <c r="F226" s="364"/>
      <c r="G226" s="397">
        <f>SUM(G221:G223)</f>
        <v>43.15</v>
      </c>
      <c r="H226" s="376"/>
      <c r="I226" s="376"/>
      <c r="J226" s="376"/>
      <c r="K226" s="376"/>
      <c r="L226" s="376"/>
      <c r="M226" s="376"/>
      <c r="N226" s="376"/>
    </row>
    <row r="227" spans="1:14" s="281" customFormat="1" ht="16.5" customHeight="1">
      <c r="A227" s="366" t="s">
        <v>488</v>
      </c>
      <c r="B227" s="365"/>
      <c r="C227" s="365"/>
      <c r="D227" s="365"/>
      <c r="E227" s="365"/>
      <c r="F227" s="364"/>
      <c r="G227" s="397">
        <f>SUM(G224:G225)</f>
        <v>29.939999999999998</v>
      </c>
      <c r="H227" s="376"/>
      <c r="I227" s="376"/>
      <c r="J227" s="376"/>
      <c r="K227" s="376"/>
      <c r="L227" s="376"/>
      <c r="M227" s="376"/>
      <c r="N227" s="376"/>
    </row>
    <row r="228" spans="1:14" s="281" customFormat="1" ht="16.5" customHeight="1">
      <c r="A228" s="369" t="s">
        <v>486</v>
      </c>
      <c r="B228" s="368"/>
      <c r="C228" s="368"/>
      <c r="D228" s="368"/>
      <c r="E228" s="368"/>
      <c r="F228" s="367"/>
      <c r="G228" s="398">
        <f>SUM(G226:G227)</f>
        <v>73.09</v>
      </c>
      <c r="H228" s="394"/>
      <c r="I228" s="394"/>
      <c r="J228" s="394"/>
      <c r="K228" s="394"/>
      <c r="L228" s="394"/>
      <c r="M228" s="394"/>
      <c r="N228" s="394"/>
    </row>
    <row r="229" spans="1:14" s="281" customFormat="1" ht="16.5" customHeight="1">
      <c r="A229" s="366" t="s">
        <v>489</v>
      </c>
      <c r="B229" s="365"/>
      <c r="C229" s="365"/>
      <c r="D229" s="365"/>
      <c r="E229" s="365"/>
      <c r="F229" s="364"/>
      <c r="G229" s="397">
        <f>ROUND(G228*$H$8,2)</f>
        <v>21.39</v>
      </c>
      <c r="H229" s="376"/>
      <c r="I229" s="376"/>
      <c r="J229" s="376"/>
      <c r="K229" s="376"/>
      <c r="L229" s="376"/>
      <c r="M229" s="376"/>
      <c r="N229" s="376"/>
    </row>
    <row r="230" spans="1:14" s="281" customFormat="1" ht="16.5" customHeight="1">
      <c r="A230" s="369" t="s">
        <v>487</v>
      </c>
      <c r="B230" s="368"/>
      <c r="C230" s="368"/>
      <c r="D230" s="368"/>
      <c r="E230" s="368"/>
      <c r="F230" s="367"/>
      <c r="G230" s="398">
        <f>SUM(G228:G229)</f>
        <v>94.48</v>
      </c>
      <c r="H230" s="394"/>
      <c r="I230" s="394"/>
      <c r="J230" s="394"/>
      <c r="K230" s="394"/>
      <c r="L230" s="394"/>
      <c r="M230" s="394"/>
      <c r="N230" s="394"/>
    </row>
    <row r="231" spans="2:13" s="281" customFormat="1" ht="13.5">
      <c r="B231" s="284"/>
      <c r="E231" s="362"/>
      <c r="F231" s="362"/>
      <c r="G231" s="362"/>
      <c r="I231" s="362"/>
      <c r="J231" s="283"/>
      <c r="K231" s="282"/>
      <c r="L231" s="282"/>
      <c r="M231" s="282"/>
    </row>
    <row r="232" spans="1:9" s="272" customFormat="1" ht="44.25" customHeight="1">
      <c r="A232" s="390" t="str">
        <f>ORÇAMENTO!B37</f>
        <v>SINAPI</v>
      </c>
      <c r="B232" s="388" t="str">
        <f>ORÇAMENTO!C37</f>
        <v>102184</v>
      </c>
      <c r="C232" s="252" t="str">
        <f>ORÇAMENTO!D37</f>
        <v>PORTA DE ABRIR COM MOLA HIDRÁULICA, EM VIDRO TEMPERADO, 90X210 CM, ESPESSURA 10 MM, INCLUSIVE ACESSÓRIOS. AF_01/2021</v>
      </c>
      <c r="D232" s="252"/>
      <c r="E232" s="252"/>
      <c r="F232" s="391" t="s">
        <v>295</v>
      </c>
      <c r="G232" s="396" t="str">
        <f>ORÇAMENTO!E37</f>
        <v>UN</v>
      </c>
      <c r="H232" s="310">
        <f>ORÇAMENTO!L37</f>
        <v>2067.01</v>
      </c>
      <c r="I232" s="163" t="s">
        <v>295</v>
      </c>
    </row>
    <row r="233" spans="1:9" s="291" customFormat="1" ht="16.5" customHeight="1">
      <c r="A233" s="391" t="s">
        <v>296</v>
      </c>
      <c r="B233" s="392" t="s">
        <v>102</v>
      </c>
      <c r="C233" s="391" t="s">
        <v>36</v>
      </c>
      <c r="D233" s="399" t="s">
        <v>297</v>
      </c>
      <c r="E233" s="400" t="s">
        <v>26</v>
      </c>
      <c r="F233" s="393" t="s">
        <v>298</v>
      </c>
      <c r="G233" s="393" t="s">
        <v>10</v>
      </c>
      <c r="I233" s="393" t="s">
        <v>298</v>
      </c>
    </row>
    <row r="234" spans="1:9" s="272" customFormat="1" ht="76.5">
      <c r="A234" s="382" t="s">
        <v>197</v>
      </c>
      <c r="B234" s="389" t="s">
        <v>550</v>
      </c>
      <c r="C234" s="383" t="s">
        <v>551</v>
      </c>
      <c r="D234" s="384" t="s">
        <v>552</v>
      </c>
      <c r="E234" s="385">
        <v>1</v>
      </c>
      <c r="F234" s="386">
        <f>ROUND(I234*$I$8,2)</f>
        <v>141.19</v>
      </c>
      <c r="G234" s="387">
        <f>ROUND(E234*F234,2)</f>
        <v>141.19</v>
      </c>
      <c r="I234" s="386">
        <v>141.52</v>
      </c>
    </row>
    <row r="235" spans="1:9" s="272" customFormat="1" ht="25.5">
      <c r="A235" s="382" t="s">
        <v>197</v>
      </c>
      <c r="B235" s="389" t="s">
        <v>553</v>
      </c>
      <c r="C235" s="383" t="s">
        <v>554</v>
      </c>
      <c r="D235" s="384" t="s">
        <v>176</v>
      </c>
      <c r="E235" s="385">
        <v>1.89</v>
      </c>
      <c r="F235" s="386">
        <f>ROUND(I235*$I$8,2)</f>
        <v>549.23</v>
      </c>
      <c r="G235" s="387">
        <f>ROUND(E235*F235,2)</f>
        <v>1038.04</v>
      </c>
      <c r="I235" s="386">
        <v>550.5</v>
      </c>
    </row>
    <row r="236" spans="1:9" s="272" customFormat="1" ht="25.5">
      <c r="A236" s="382" t="s">
        <v>197</v>
      </c>
      <c r="B236" s="389" t="s">
        <v>555</v>
      </c>
      <c r="C236" s="383" t="s">
        <v>556</v>
      </c>
      <c r="D236" s="384" t="s">
        <v>214</v>
      </c>
      <c r="E236" s="385">
        <v>1</v>
      </c>
      <c r="F236" s="386">
        <f>ROUND(I236*$I$8,2)</f>
        <v>760.9</v>
      </c>
      <c r="G236" s="387">
        <f>ROUND(E236*F236,2)</f>
        <v>760.9</v>
      </c>
      <c r="I236" s="386">
        <v>762.65</v>
      </c>
    </row>
    <row r="237" spans="1:9" s="272" customFormat="1" ht="12.75">
      <c r="A237" s="382" t="s">
        <v>99</v>
      </c>
      <c r="B237" s="389" t="s">
        <v>208</v>
      </c>
      <c r="C237" s="383" t="s">
        <v>209</v>
      </c>
      <c r="D237" s="384" t="s">
        <v>103</v>
      </c>
      <c r="E237" s="385">
        <v>3.162</v>
      </c>
      <c r="F237" s="386">
        <f>ROUND(I237*$J$8,2)</f>
        <v>16.94</v>
      </c>
      <c r="G237" s="387">
        <f>ROUND(E237*F237,2)</f>
        <v>53.56</v>
      </c>
      <c r="I237" s="386">
        <v>17.09</v>
      </c>
    </row>
    <row r="238" spans="1:9" s="272" customFormat="1" ht="12.75">
      <c r="A238" s="382" t="s">
        <v>99</v>
      </c>
      <c r="B238" s="389" t="s">
        <v>557</v>
      </c>
      <c r="C238" s="383" t="s">
        <v>558</v>
      </c>
      <c r="D238" s="384" t="s">
        <v>103</v>
      </c>
      <c r="E238" s="385">
        <v>3.253</v>
      </c>
      <c r="F238" s="386">
        <f>ROUND(I238*$J$8,2)</f>
        <v>20.84</v>
      </c>
      <c r="G238" s="387">
        <f>ROUND(E238*F238,2)</f>
        <v>67.79</v>
      </c>
      <c r="I238" s="386">
        <v>21.02</v>
      </c>
    </row>
    <row r="239" spans="1:14" s="281" customFormat="1" ht="16.5" customHeight="1">
      <c r="A239" s="366" t="s">
        <v>485</v>
      </c>
      <c r="B239" s="365"/>
      <c r="C239" s="365"/>
      <c r="D239" s="365"/>
      <c r="E239" s="365"/>
      <c r="F239" s="364"/>
      <c r="G239" s="397">
        <f>SUM(G234:G236)</f>
        <v>1940.13</v>
      </c>
      <c r="H239" s="376"/>
      <c r="I239" s="376"/>
      <c r="J239" s="376"/>
      <c r="K239" s="376"/>
      <c r="L239" s="376"/>
      <c r="M239" s="376"/>
      <c r="N239" s="376"/>
    </row>
    <row r="240" spans="1:14" s="281" customFormat="1" ht="16.5" customHeight="1">
      <c r="A240" s="366" t="s">
        <v>488</v>
      </c>
      <c r="B240" s="365"/>
      <c r="C240" s="365"/>
      <c r="D240" s="365"/>
      <c r="E240" s="365"/>
      <c r="F240" s="364"/>
      <c r="G240" s="397">
        <f>SUM(G237:G238)</f>
        <v>121.35000000000001</v>
      </c>
      <c r="H240" s="376"/>
      <c r="I240" s="376"/>
      <c r="J240" s="376"/>
      <c r="K240" s="376"/>
      <c r="L240" s="376"/>
      <c r="M240" s="376"/>
      <c r="N240" s="376"/>
    </row>
    <row r="241" spans="1:14" s="281" customFormat="1" ht="16.5" customHeight="1">
      <c r="A241" s="369" t="s">
        <v>486</v>
      </c>
      <c r="B241" s="368"/>
      <c r="C241" s="368"/>
      <c r="D241" s="368"/>
      <c r="E241" s="368"/>
      <c r="F241" s="367"/>
      <c r="G241" s="398">
        <f>SUM(G239:G240)</f>
        <v>2061.48</v>
      </c>
      <c r="H241" s="394"/>
      <c r="I241" s="394"/>
      <c r="J241" s="394"/>
      <c r="K241" s="394"/>
      <c r="L241" s="394"/>
      <c r="M241" s="394"/>
      <c r="N241" s="394"/>
    </row>
    <row r="242" spans="1:14" s="281" customFormat="1" ht="16.5" customHeight="1">
      <c r="A242" s="366" t="s">
        <v>489</v>
      </c>
      <c r="B242" s="365"/>
      <c r="C242" s="365"/>
      <c r="D242" s="365"/>
      <c r="E242" s="365"/>
      <c r="F242" s="364"/>
      <c r="G242" s="397">
        <f>ROUND(G241*$H$8,2)</f>
        <v>603.4</v>
      </c>
      <c r="H242" s="376"/>
      <c r="I242" s="376"/>
      <c r="J242" s="376"/>
      <c r="K242" s="376"/>
      <c r="L242" s="376"/>
      <c r="M242" s="376"/>
      <c r="N242" s="376"/>
    </row>
    <row r="243" spans="1:14" s="281" customFormat="1" ht="16.5" customHeight="1">
      <c r="A243" s="369" t="s">
        <v>487</v>
      </c>
      <c r="B243" s="368"/>
      <c r="C243" s="368"/>
      <c r="D243" s="368"/>
      <c r="E243" s="368"/>
      <c r="F243" s="367"/>
      <c r="G243" s="398">
        <f>SUM(G241:G242)</f>
        <v>2664.88</v>
      </c>
      <c r="H243" s="394"/>
      <c r="I243" s="394"/>
      <c r="J243" s="394"/>
      <c r="K243" s="394"/>
      <c r="L243" s="394"/>
      <c r="M243" s="394"/>
      <c r="N243" s="394"/>
    </row>
    <row r="244" spans="2:13" s="281" customFormat="1" ht="13.5">
      <c r="B244" s="284"/>
      <c r="E244" s="362"/>
      <c r="F244" s="362"/>
      <c r="G244" s="362"/>
      <c r="I244" s="362"/>
      <c r="J244" s="283"/>
      <c r="K244" s="282"/>
      <c r="L244" s="282"/>
      <c r="M244" s="282"/>
    </row>
    <row r="245" spans="1:9" s="272" customFormat="1" ht="44.25" customHeight="1">
      <c r="A245" s="390" t="str">
        <f>ORÇAMENTO!B38</f>
        <v>SINAPI</v>
      </c>
      <c r="B245" s="388" t="str">
        <f>ORÇAMENTO!C38</f>
        <v>100701</v>
      </c>
      <c r="C245" s="252" t="str">
        <f>ORÇAMENTO!D38</f>
        <v>PORTA DE FERRO, DE ABRIR, TIPO GRADE COM CHAPA, COM GUARNIÇÕES. AF_12/2019</v>
      </c>
      <c r="D245" s="252"/>
      <c r="E245" s="252"/>
      <c r="F245" s="391" t="s">
        <v>295</v>
      </c>
      <c r="G245" s="396" t="str">
        <f>ORÇAMENTO!E38</f>
        <v>M2</v>
      </c>
      <c r="H245" s="310">
        <f>ORÇAMENTO!L38</f>
        <v>597.51</v>
      </c>
      <c r="I245" s="163" t="s">
        <v>295</v>
      </c>
    </row>
    <row r="246" spans="1:9" s="291" customFormat="1" ht="16.5" customHeight="1">
      <c r="A246" s="391" t="s">
        <v>296</v>
      </c>
      <c r="B246" s="392" t="s">
        <v>102</v>
      </c>
      <c r="C246" s="391" t="s">
        <v>36</v>
      </c>
      <c r="D246" s="399" t="s">
        <v>297</v>
      </c>
      <c r="E246" s="400" t="s">
        <v>26</v>
      </c>
      <c r="F246" s="393" t="s">
        <v>298</v>
      </c>
      <c r="G246" s="393" t="s">
        <v>10</v>
      </c>
      <c r="I246" s="393" t="s">
        <v>298</v>
      </c>
    </row>
    <row r="247" spans="1:9" s="272" customFormat="1" ht="38.25">
      <c r="A247" s="382" t="s">
        <v>197</v>
      </c>
      <c r="B247" s="389" t="s">
        <v>559</v>
      </c>
      <c r="C247" s="383" t="s">
        <v>560</v>
      </c>
      <c r="D247" s="384" t="s">
        <v>176</v>
      </c>
      <c r="E247" s="385">
        <v>1</v>
      </c>
      <c r="F247" s="386">
        <f>ROUND(I247*$I$8,2)</f>
        <v>574.08</v>
      </c>
      <c r="G247" s="387">
        <f>ROUND(E247*F247,2)</f>
        <v>574.08</v>
      </c>
      <c r="I247" s="386">
        <v>575.4</v>
      </c>
    </row>
    <row r="248" spans="1:9" s="272" customFormat="1" ht="12.75">
      <c r="A248" s="382" t="s">
        <v>99</v>
      </c>
      <c r="B248" s="389" t="s">
        <v>448</v>
      </c>
      <c r="C248" s="383" t="s">
        <v>449</v>
      </c>
      <c r="D248" s="384" t="s">
        <v>103</v>
      </c>
      <c r="E248" s="385">
        <v>0.457</v>
      </c>
      <c r="F248" s="386">
        <f>ROUND(I248*$J$8,2)</f>
        <v>21.13</v>
      </c>
      <c r="G248" s="387">
        <f>ROUND(E248*F248,2)</f>
        <v>9.66</v>
      </c>
      <c r="I248" s="386">
        <v>21.31</v>
      </c>
    </row>
    <row r="249" spans="1:9" s="272" customFormat="1" ht="12.75">
      <c r="A249" s="382" t="s">
        <v>99</v>
      </c>
      <c r="B249" s="389" t="s">
        <v>208</v>
      </c>
      <c r="C249" s="383" t="s">
        <v>209</v>
      </c>
      <c r="D249" s="384" t="s">
        <v>103</v>
      </c>
      <c r="E249" s="385">
        <v>0.229</v>
      </c>
      <c r="F249" s="386">
        <f>ROUND(I249*$J$8,2)</f>
        <v>16.94</v>
      </c>
      <c r="G249" s="387">
        <f>ROUND(E249*F249,2)</f>
        <v>3.88</v>
      </c>
      <c r="I249" s="386">
        <v>17.09</v>
      </c>
    </row>
    <row r="250" spans="1:9" s="272" customFormat="1" ht="38.25">
      <c r="A250" s="382" t="s">
        <v>99</v>
      </c>
      <c r="B250" s="389" t="s">
        <v>561</v>
      </c>
      <c r="C250" s="383" t="s">
        <v>562</v>
      </c>
      <c r="D250" s="384" t="s">
        <v>180</v>
      </c>
      <c r="E250" s="385">
        <v>0.012</v>
      </c>
      <c r="F250" s="386">
        <f>ROUND(I250*$I$8,2)</f>
        <v>705.03</v>
      </c>
      <c r="G250" s="387">
        <f>ROUND(E250*F250,2)</f>
        <v>8.46</v>
      </c>
      <c r="I250" s="386">
        <v>706.66</v>
      </c>
    </row>
    <row r="251" spans="1:14" s="281" customFormat="1" ht="16.5" customHeight="1">
      <c r="A251" s="366" t="s">
        <v>485</v>
      </c>
      <c r="B251" s="365"/>
      <c r="C251" s="365"/>
      <c r="D251" s="365"/>
      <c r="E251" s="365"/>
      <c r="F251" s="364"/>
      <c r="G251" s="397">
        <f>SUM(G247,G250)</f>
        <v>582.5400000000001</v>
      </c>
      <c r="H251" s="376"/>
      <c r="I251" s="376"/>
      <c r="J251" s="376"/>
      <c r="K251" s="376"/>
      <c r="L251" s="376"/>
      <c r="M251" s="376"/>
      <c r="N251" s="376"/>
    </row>
    <row r="252" spans="1:14" s="281" customFormat="1" ht="16.5" customHeight="1">
      <c r="A252" s="366" t="s">
        <v>488</v>
      </c>
      <c r="B252" s="365"/>
      <c r="C252" s="365"/>
      <c r="D252" s="365"/>
      <c r="E252" s="365"/>
      <c r="F252" s="364"/>
      <c r="G252" s="397">
        <f>SUM(G248:G249)</f>
        <v>13.54</v>
      </c>
      <c r="H252" s="376"/>
      <c r="I252" s="376"/>
      <c r="J252" s="376"/>
      <c r="K252" s="376"/>
      <c r="L252" s="376"/>
      <c r="M252" s="376"/>
      <c r="N252" s="376"/>
    </row>
    <row r="253" spans="1:14" s="281" customFormat="1" ht="16.5" customHeight="1">
      <c r="A253" s="369" t="s">
        <v>486</v>
      </c>
      <c r="B253" s="368"/>
      <c r="C253" s="368"/>
      <c r="D253" s="368"/>
      <c r="E253" s="368"/>
      <c r="F253" s="367"/>
      <c r="G253" s="398">
        <f>SUM(G251:G252)</f>
        <v>596.08</v>
      </c>
      <c r="H253" s="394"/>
      <c r="I253" s="394"/>
      <c r="J253" s="394"/>
      <c r="K253" s="394"/>
      <c r="L253" s="394"/>
      <c r="M253" s="394"/>
      <c r="N253" s="394"/>
    </row>
    <row r="254" spans="1:14" s="281" customFormat="1" ht="16.5" customHeight="1">
      <c r="A254" s="366" t="s">
        <v>489</v>
      </c>
      <c r="B254" s="365"/>
      <c r="C254" s="365"/>
      <c r="D254" s="365"/>
      <c r="E254" s="365"/>
      <c r="F254" s="364"/>
      <c r="G254" s="397">
        <f>ROUND(G253*$H$8,2)</f>
        <v>174.47</v>
      </c>
      <c r="H254" s="376"/>
      <c r="I254" s="376"/>
      <c r="J254" s="376"/>
      <c r="K254" s="376"/>
      <c r="L254" s="376"/>
      <c r="M254" s="376"/>
      <c r="N254" s="376"/>
    </row>
    <row r="255" spans="1:14" s="281" customFormat="1" ht="16.5" customHeight="1">
      <c r="A255" s="369" t="s">
        <v>487</v>
      </c>
      <c r="B255" s="368"/>
      <c r="C255" s="368"/>
      <c r="D255" s="368"/>
      <c r="E255" s="368"/>
      <c r="F255" s="367"/>
      <c r="G255" s="398">
        <f>SUM(G253:G254)</f>
        <v>770.5500000000001</v>
      </c>
      <c r="H255" s="394"/>
      <c r="I255" s="394"/>
      <c r="J255" s="394"/>
      <c r="K255" s="394"/>
      <c r="L255" s="394"/>
      <c r="M255" s="394"/>
      <c r="N255" s="394"/>
    </row>
    <row r="256" spans="2:13" s="281" customFormat="1" ht="13.5">
      <c r="B256" s="284"/>
      <c r="E256" s="362"/>
      <c r="F256" s="362"/>
      <c r="G256" s="362"/>
      <c r="I256" s="362"/>
      <c r="J256" s="283"/>
      <c r="K256" s="282"/>
      <c r="L256" s="282"/>
      <c r="M256" s="282"/>
    </row>
    <row r="257" spans="1:9" s="272" customFormat="1" ht="44.25" customHeight="1">
      <c r="A257" s="390" t="str">
        <f>ORÇAMENTO!B39</f>
        <v>CPU</v>
      </c>
      <c r="B257" s="388" t="str">
        <f>ORÇAMENTO!C39</f>
        <v>06</v>
      </c>
      <c r="C257" s="252" t="str">
        <f>ORÇAMENTO!D39</f>
        <v>PORTA DE ENROLAR MANUAL COMPLETA, ARTICULADA RAIADA LARGA, EM ACO GALVANIZADO NATURAL, CHAPA NUMERO 24 , INCLUSO PINTURA DE FUNDO ZARCÃO E TINTA ESMALTE ACETINADO - FORNECIMENTO E INSTALAÇÃO</v>
      </c>
      <c r="D257" s="252"/>
      <c r="E257" s="252"/>
      <c r="F257" s="391" t="s">
        <v>295</v>
      </c>
      <c r="G257" s="396" t="str">
        <f>ORÇAMENTO!E39</f>
        <v>M2    </v>
      </c>
      <c r="H257" s="310">
        <f>ORÇAMENTO!L39</f>
        <v>544.4</v>
      </c>
      <c r="I257" s="163" t="s">
        <v>295</v>
      </c>
    </row>
    <row r="258" spans="1:9" s="291" customFormat="1" ht="16.5" customHeight="1">
      <c r="A258" s="391" t="s">
        <v>296</v>
      </c>
      <c r="B258" s="392" t="s">
        <v>102</v>
      </c>
      <c r="C258" s="391" t="s">
        <v>36</v>
      </c>
      <c r="D258" s="399" t="s">
        <v>297</v>
      </c>
      <c r="E258" s="400" t="s">
        <v>26</v>
      </c>
      <c r="F258" s="393" t="s">
        <v>298</v>
      </c>
      <c r="G258" s="393" t="s">
        <v>10</v>
      </c>
      <c r="I258" s="393" t="s">
        <v>298</v>
      </c>
    </row>
    <row r="259" spans="1:9" ht="38.25">
      <c r="A259" s="164" t="s">
        <v>197</v>
      </c>
      <c r="B259" s="165" t="s">
        <v>459</v>
      </c>
      <c r="C259" s="166" t="s">
        <v>460</v>
      </c>
      <c r="D259" s="167" t="s">
        <v>176</v>
      </c>
      <c r="E259" s="168">
        <v>1</v>
      </c>
      <c r="F259" s="386">
        <f>ROUND(I259*$I$8,2)</f>
        <v>367.07</v>
      </c>
      <c r="G259" s="169">
        <f>ROUND(E259*F259,2)</f>
        <v>367.07</v>
      </c>
      <c r="I259" s="386">
        <v>367.92</v>
      </c>
    </row>
    <row r="260" spans="1:9" ht="12.75">
      <c r="A260" s="164" t="s">
        <v>99</v>
      </c>
      <c r="B260" s="165" t="s">
        <v>208</v>
      </c>
      <c r="C260" s="166" t="s">
        <v>209</v>
      </c>
      <c r="D260" s="167" t="s">
        <v>103</v>
      </c>
      <c r="E260" s="168">
        <v>3.2</v>
      </c>
      <c r="F260" s="386">
        <f>ROUND(I260*$J$8,2)</f>
        <v>16.94</v>
      </c>
      <c r="G260" s="169">
        <f>ROUND(E260*F260,2)</f>
        <v>54.21</v>
      </c>
      <c r="I260" s="386">
        <v>17.09</v>
      </c>
    </row>
    <row r="261" spans="1:9" ht="12.75">
      <c r="A261" s="164" t="s">
        <v>99</v>
      </c>
      <c r="B261" s="165" t="s">
        <v>448</v>
      </c>
      <c r="C261" s="166" t="s">
        <v>449</v>
      </c>
      <c r="D261" s="167" t="s">
        <v>103</v>
      </c>
      <c r="E261" s="168">
        <v>3.2</v>
      </c>
      <c r="F261" s="386">
        <f>ROUND(I261*$J$8,2)</f>
        <v>21.13</v>
      </c>
      <c r="G261" s="169">
        <f>ROUND(E261*F261,2)</f>
        <v>67.62</v>
      </c>
      <c r="I261" s="386">
        <v>21.31</v>
      </c>
    </row>
    <row r="262" spans="1:9" ht="51">
      <c r="A262" s="164" t="s">
        <v>99</v>
      </c>
      <c r="B262" s="165" t="s">
        <v>306</v>
      </c>
      <c r="C262" s="166" t="s">
        <v>307</v>
      </c>
      <c r="D262" s="167" t="s">
        <v>177</v>
      </c>
      <c r="E262" s="168">
        <v>2</v>
      </c>
      <c r="F262" s="386">
        <f>ROUND(I262*$I$8,2)</f>
        <v>18.68</v>
      </c>
      <c r="G262" s="169">
        <f>ROUND(E262*F262,2)</f>
        <v>37.36</v>
      </c>
      <c r="I262" s="386">
        <v>18.72</v>
      </c>
    </row>
    <row r="263" spans="1:9" ht="38.25">
      <c r="A263" s="164" t="s">
        <v>99</v>
      </c>
      <c r="B263" s="165" t="s">
        <v>241</v>
      </c>
      <c r="C263" s="166" t="s">
        <v>242</v>
      </c>
      <c r="D263" s="167" t="s">
        <v>177</v>
      </c>
      <c r="E263" s="168">
        <v>2</v>
      </c>
      <c r="F263" s="386">
        <f>ROUND(I263*$I$8,2)</f>
        <v>8.06</v>
      </c>
      <c r="G263" s="169">
        <f>ROUND(E263*F263,2)</f>
        <v>16.12</v>
      </c>
      <c r="I263" s="386">
        <v>8.08</v>
      </c>
    </row>
    <row r="264" spans="1:14" s="281" customFormat="1" ht="16.5" customHeight="1">
      <c r="A264" s="366" t="s">
        <v>485</v>
      </c>
      <c r="B264" s="365"/>
      <c r="C264" s="365"/>
      <c r="D264" s="365"/>
      <c r="E264" s="365"/>
      <c r="F264" s="364"/>
      <c r="G264" s="397">
        <f>SUM(G259)</f>
        <v>367.07</v>
      </c>
      <c r="H264" s="376"/>
      <c r="I264" s="376"/>
      <c r="K264" s="376"/>
      <c r="L264" s="376"/>
      <c r="M264" s="376"/>
      <c r="N264" s="376"/>
    </row>
    <row r="265" spans="1:14" s="281" customFormat="1" ht="16.5" customHeight="1">
      <c r="A265" s="366" t="s">
        <v>488</v>
      </c>
      <c r="B265" s="365"/>
      <c r="C265" s="365"/>
      <c r="D265" s="365"/>
      <c r="E265" s="365"/>
      <c r="F265" s="364"/>
      <c r="G265" s="397">
        <f>SUM(G260:G263)</f>
        <v>175.31</v>
      </c>
      <c r="H265" s="376"/>
      <c r="I265" s="376"/>
      <c r="J265" s="376"/>
      <c r="K265" s="376"/>
      <c r="L265" s="376"/>
      <c r="M265" s="376"/>
      <c r="N265" s="376"/>
    </row>
    <row r="266" spans="1:14" s="281" customFormat="1" ht="16.5" customHeight="1">
      <c r="A266" s="369" t="s">
        <v>486</v>
      </c>
      <c r="B266" s="368"/>
      <c r="C266" s="368"/>
      <c r="D266" s="368"/>
      <c r="E266" s="368"/>
      <c r="F266" s="367"/>
      <c r="G266" s="398">
        <f>SUM(G264:G265)</f>
        <v>542.38</v>
      </c>
      <c r="H266" s="394"/>
      <c r="I266" s="394"/>
      <c r="J266" s="394"/>
      <c r="K266" s="394"/>
      <c r="L266" s="394"/>
      <c r="M266" s="394"/>
      <c r="N266" s="394"/>
    </row>
    <row r="267" spans="1:14" s="281" customFormat="1" ht="16.5" customHeight="1">
      <c r="A267" s="366" t="s">
        <v>489</v>
      </c>
      <c r="B267" s="365"/>
      <c r="C267" s="365"/>
      <c r="D267" s="365"/>
      <c r="E267" s="365"/>
      <c r="F267" s="364"/>
      <c r="G267" s="397">
        <f>ROUND(G266*$H$8,2)</f>
        <v>158.75</v>
      </c>
      <c r="H267" s="376"/>
      <c r="I267" s="376"/>
      <c r="J267" s="376"/>
      <c r="K267" s="376"/>
      <c r="L267" s="376"/>
      <c r="M267" s="376"/>
      <c r="N267" s="376"/>
    </row>
    <row r="268" spans="1:14" s="281" customFormat="1" ht="16.5" customHeight="1">
      <c r="A268" s="369" t="s">
        <v>487</v>
      </c>
      <c r="B268" s="368"/>
      <c r="C268" s="368"/>
      <c r="D268" s="368"/>
      <c r="E268" s="368"/>
      <c r="F268" s="367"/>
      <c r="G268" s="398">
        <f>SUM(G266:G267)</f>
        <v>701.13</v>
      </c>
      <c r="H268" s="394"/>
      <c r="I268" s="394"/>
      <c r="J268" s="394"/>
      <c r="K268" s="394"/>
      <c r="L268" s="394"/>
      <c r="M268" s="394"/>
      <c r="N268" s="394"/>
    </row>
    <row r="269" spans="2:13" s="124" customFormat="1" ht="15" customHeight="1">
      <c r="B269" s="142"/>
      <c r="E269" s="204"/>
      <c r="F269" s="204"/>
      <c r="G269" s="204"/>
      <c r="I269" s="281"/>
      <c r="J269" s="133"/>
      <c r="K269" s="132"/>
      <c r="L269" s="132"/>
      <c r="M269" s="132"/>
    </row>
    <row r="270" spans="1:9" s="272" customFormat="1" ht="44.25" customHeight="1">
      <c r="A270" s="390" t="str">
        <f>ORÇAMENTO!B40</f>
        <v>SINAPI</v>
      </c>
      <c r="B270" s="388" t="str">
        <f>ORÇAMENTO!C40</f>
        <v>94569</v>
      </c>
      <c r="C270" s="252" t="str">
        <f>ORÇAMENTO!D40</f>
        <v>JANELA DE ALUMÍNIO TIPO MAXIM-AR, COM VIDROS, BATENTE E FERRAGENS. EXCLUSIVE ALIZAR, ACABAMENTO E CONTRAMARCO. FORNECIMENTO E INSTALAÇÃO. AF_12/2019</v>
      </c>
      <c r="D270" s="252"/>
      <c r="E270" s="252"/>
      <c r="F270" s="391" t="s">
        <v>295</v>
      </c>
      <c r="G270" s="396" t="str">
        <f>ORÇAMENTO!E40</f>
        <v>M2</v>
      </c>
      <c r="H270" s="310">
        <f>ORÇAMENTO!L40</f>
        <v>473.25</v>
      </c>
      <c r="I270" s="163" t="s">
        <v>295</v>
      </c>
    </row>
    <row r="271" spans="1:9" s="291" customFormat="1" ht="16.5" customHeight="1">
      <c r="A271" s="391" t="s">
        <v>296</v>
      </c>
      <c r="B271" s="392" t="s">
        <v>102</v>
      </c>
      <c r="C271" s="391" t="s">
        <v>36</v>
      </c>
      <c r="D271" s="399" t="s">
        <v>297</v>
      </c>
      <c r="E271" s="400" t="s">
        <v>26</v>
      </c>
      <c r="F271" s="393" t="s">
        <v>298</v>
      </c>
      <c r="G271" s="393" t="s">
        <v>10</v>
      </c>
      <c r="I271" s="393" t="s">
        <v>298</v>
      </c>
    </row>
    <row r="272" spans="1:9" s="272" customFormat="1" ht="38.25">
      <c r="A272" s="382" t="s">
        <v>197</v>
      </c>
      <c r="B272" s="389" t="s">
        <v>563</v>
      </c>
      <c r="C272" s="383" t="s">
        <v>564</v>
      </c>
      <c r="D272" s="384" t="s">
        <v>214</v>
      </c>
      <c r="E272" s="385">
        <v>24.4</v>
      </c>
      <c r="F272" s="386">
        <f>ROUND(I272*$I$8,2)</f>
        <v>0.21</v>
      </c>
      <c r="G272" s="387">
        <f>ROUND(E272*F272,2)</f>
        <v>5.12</v>
      </c>
      <c r="I272" s="386">
        <v>0.21</v>
      </c>
    </row>
    <row r="273" spans="1:9" s="272" customFormat="1" ht="38.25">
      <c r="A273" s="382" t="s">
        <v>197</v>
      </c>
      <c r="B273" s="389" t="s">
        <v>565</v>
      </c>
      <c r="C273" s="383" t="s">
        <v>566</v>
      </c>
      <c r="D273" s="384" t="s">
        <v>214</v>
      </c>
      <c r="E273" s="385">
        <v>2.0833</v>
      </c>
      <c r="F273" s="386">
        <f>ROUND(I273*$I$8,2)</f>
        <v>184.23</v>
      </c>
      <c r="G273" s="387">
        <f>ROUND(E273*F273,2)</f>
        <v>383.81</v>
      </c>
      <c r="I273" s="386">
        <v>184.65</v>
      </c>
    </row>
    <row r="274" spans="1:9" s="272" customFormat="1" ht="12.75">
      <c r="A274" s="382" t="s">
        <v>197</v>
      </c>
      <c r="B274" s="389" t="s">
        <v>567</v>
      </c>
      <c r="C274" s="383" t="s">
        <v>568</v>
      </c>
      <c r="D274" s="384" t="s">
        <v>214</v>
      </c>
      <c r="E274" s="385">
        <v>1.2467</v>
      </c>
      <c r="F274" s="386">
        <f>ROUND(I274*$I$8,2)</f>
        <v>26.02</v>
      </c>
      <c r="G274" s="387">
        <f>ROUND(E274*F274,2)</f>
        <v>32.44</v>
      </c>
      <c r="I274" s="386">
        <v>26.08</v>
      </c>
    </row>
    <row r="275" spans="1:9" s="272" customFormat="1" ht="12.75">
      <c r="A275" s="382" t="s">
        <v>99</v>
      </c>
      <c r="B275" s="389" t="s">
        <v>448</v>
      </c>
      <c r="C275" s="383" t="s">
        <v>449</v>
      </c>
      <c r="D275" s="384" t="s">
        <v>103</v>
      </c>
      <c r="E275" s="385">
        <v>1.707</v>
      </c>
      <c r="F275" s="386">
        <f>ROUND(I275*$J$8,2)</f>
        <v>21.13</v>
      </c>
      <c r="G275" s="387">
        <f>ROUND(E275*F275,2)</f>
        <v>36.07</v>
      </c>
      <c r="I275" s="386">
        <v>21.31</v>
      </c>
    </row>
    <row r="276" spans="1:9" s="272" customFormat="1" ht="12.75">
      <c r="A276" s="382" t="s">
        <v>99</v>
      </c>
      <c r="B276" s="389" t="s">
        <v>208</v>
      </c>
      <c r="C276" s="383" t="s">
        <v>209</v>
      </c>
      <c r="D276" s="384" t="s">
        <v>103</v>
      </c>
      <c r="E276" s="385">
        <v>0.853</v>
      </c>
      <c r="F276" s="386">
        <f>ROUND(I276*$J$8,2)</f>
        <v>16.94</v>
      </c>
      <c r="G276" s="387">
        <f>ROUND(E276*F276,2)</f>
        <v>14.45</v>
      </c>
      <c r="I276" s="386">
        <v>17.09</v>
      </c>
    </row>
    <row r="277" spans="1:14" s="281" customFormat="1" ht="16.5" customHeight="1">
      <c r="A277" s="366" t="s">
        <v>485</v>
      </c>
      <c r="B277" s="365"/>
      <c r="C277" s="365"/>
      <c r="D277" s="365"/>
      <c r="E277" s="365"/>
      <c r="F277" s="364"/>
      <c r="G277" s="397">
        <f>SUM(G272:G274)</f>
        <v>421.37</v>
      </c>
      <c r="H277" s="376"/>
      <c r="I277" s="376"/>
      <c r="J277" s="376"/>
      <c r="K277" s="376"/>
      <c r="L277" s="376"/>
      <c r="M277" s="376"/>
      <c r="N277" s="376"/>
    </row>
    <row r="278" spans="1:14" s="281" customFormat="1" ht="16.5" customHeight="1">
      <c r="A278" s="366" t="s">
        <v>488</v>
      </c>
      <c r="B278" s="365"/>
      <c r="C278" s="365"/>
      <c r="D278" s="365"/>
      <c r="E278" s="365"/>
      <c r="F278" s="364"/>
      <c r="G278" s="397">
        <f>SUM(G275:G276)</f>
        <v>50.519999999999996</v>
      </c>
      <c r="H278" s="376"/>
      <c r="I278" s="376"/>
      <c r="J278" s="376"/>
      <c r="K278" s="376"/>
      <c r="L278" s="376"/>
      <c r="M278" s="376"/>
      <c r="N278" s="376"/>
    </row>
    <row r="279" spans="1:14" s="281" customFormat="1" ht="16.5" customHeight="1">
      <c r="A279" s="369" t="s">
        <v>486</v>
      </c>
      <c r="B279" s="368"/>
      <c r="C279" s="368"/>
      <c r="D279" s="368"/>
      <c r="E279" s="368"/>
      <c r="F279" s="367"/>
      <c r="G279" s="398">
        <f>SUM(G277:G278)</f>
        <v>471.89</v>
      </c>
      <c r="H279" s="394"/>
      <c r="I279" s="394"/>
      <c r="J279" s="394"/>
      <c r="K279" s="394"/>
      <c r="L279" s="394"/>
      <c r="M279" s="394"/>
      <c r="N279" s="394"/>
    </row>
    <row r="280" spans="1:14" s="281" customFormat="1" ht="16.5" customHeight="1">
      <c r="A280" s="366" t="s">
        <v>489</v>
      </c>
      <c r="B280" s="365"/>
      <c r="C280" s="365"/>
      <c r="D280" s="365"/>
      <c r="E280" s="365"/>
      <c r="F280" s="364"/>
      <c r="G280" s="397">
        <f>ROUND(G279*$H$8,2)</f>
        <v>138.12</v>
      </c>
      <c r="H280" s="376"/>
      <c r="I280" s="376"/>
      <c r="J280" s="376"/>
      <c r="K280" s="376"/>
      <c r="L280" s="376"/>
      <c r="M280" s="376"/>
      <c r="N280" s="376"/>
    </row>
    <row r="281" spans="1:14" s="281" customFormat="1" ht="16.5" customHeight="1">
      <c r="A281" s="369" t="s">
        <v>487</v>
      </c>
      <c r="B281" s="368"/>
      <c r="C281" s="368"/>
      <c r="D281" s="368"/>
      <c r="E281" s="368"/>
      <c r="F281" s="367"/>
      <c r="G281" s="398">
        <f>SUM(G279:G280)</f>
        <v>610.01</v>
      </c>
      <c r="H281" s="394"/>
      <c r="I281" s="394"/>
      <c r="J281" s="394"/>
      <c r="K281" s="394"/>
      <c r="L281" s="394"/>
      <c r="M281" s="394"/>
      <c r="N281" s="394"/>
    </row>
    <row r="282" spans="2:13" s="281" customFormat="1" ht="13.5">
      <c r="B282" s="284"/>
      <c r="E282" s="362"/>
      <c r="F282" s="362"/>
      <c r="G282" s="362"/>
      <c r="I282" s="362"/>
      <c r="J282" s="283"/>
      <c r="K282" s="282"/>
      <c r="L282" s="282"/>
      <c r="M282" s="282"/>
    </row>
    <row r="283" spans="1:9" s="272" customFormat="1" ht="44.25" customHeight="1">
      <c r="A283" s="390" t="str">
        <f>ORÇAMENTO!B42</f>
        <v>SINAPI</v>
      </c>
      <c r="B283" s="388" t="str">
        <f>ORÇAMENTO!C42</f>
        <v>98695</v>
      </c>
      <c r="C283" s="252" t="str">
        <f>ORÇAMENTO!D42</f>
        <v>SOLEIRA EM MÁRMORE, LARGURA 15 CM, ESPESSURA 2,0 CM. AF_09/2020</v>
      </c>
      <c r="D283" s="252"/>
      <c r="E283" s="252"/>
      <c r="F283" s="391" t="s">
        <v>295</v>
      </c>
      <c r="G283" s="396" t="str">
        <f>ORÇAMENTO!E42</f>
        <v>M</v>
      </c>
      <c r="H283" s="310">
        <f>ORÇAMENTO!L42</f>
        <v>90.93</v>
      </c>
      <c r="I283" s="163" t="s">
        <v>295</v>
      </c>
    </row>
    <row r="284" spans="1:9" s="291" customFormat="1" ht="16.5" customHeight="1">
      <c r="A284" s="391" t="s">
        <v>296</v>
      </c>
      <c r="B284" s="392" t="s">
        <v>102</v>
      </c>
      <c r="C284" s="391" t="s">
        <v>36</v>
      </c>
      <c r="D284" s="399" t="s">
        <v>297</v>
      </c>
      <c r="E284" s="400" t="s">
        <v>26</v>
      </c>
      <c r="F284" s="393" t="s">
        <v>298</v>
      </c>
      <c r="G284" s="393" t="s">
        <v>10</v>
      </c>
      <c r="I284" s="393" t="s">
        <v>298</v>
      </c>
    </row>
    <row r="285" spans="1:9" s="272" customFormat="1" ht="25.5">
      <c r="A285" s="382" t="s">
        <v>197</v>
      </c>
      <c r="B285" s="389" t="s">
        <v>569</v>
      </c>
      <c r="C285" s="383" t="s">
        <v>570</v>
      </c>
      <c r="D285" s="384" t="s">
        <v>304</v>
      </c>
      <c r="E285" s="385">
        <v>1</v>
      </c>
      <c r="F285" s="386">
        <f>ROUND(I285*$I$8,2)</f>
        <v>71.36</v>
      </c>
      <c r="G285" s="387">
        <f>ROUND(E285*F285,2)</f>
        <v>71.36</v>
      </c>
      <c r="I285" s="386">
        <v>71.52</v>
      </c>
    </row>
    <row r="286" spans="1:9" s="272" customFormat="1" ht="12.75">
      <c r="A286" s="382" t="s">
        <v>197</v>
      </c>
      <c r="B286" s="389" t="s">
        <v>571</v>
      </c>
      <c r="C286" s="383" t="s">
        <v>572</v>
      </c>
      <c r="D286" s="384" t="s">
        <v>305</v>
      </c>
      <c r="E286" s="385">
        <v>1.29</v>
      </c>
      <c r="F286" s="386">
        <f>ROUND(I286*$I$8,2)</f>
        <v>2.15</v>
      </c>
      <c r="G286" s="387">
        <f>ROUND(E286*F286,2)</f>
        <v>2.77</v>
      </c>
      <c r="I286" s="386">
        <v>2.15</v>
      </c>
    </row>
    <row r="287" spans="1:9" s="272" customFormat="1" ht="25.5">
      <c r="A287" s="382" t="s">
        <v>99</v>
      </c>
      <c r="B287" s="389" t="s">
        <v>573</v>
      </c>
      <c r="C287" s="383" t="s">
        <v>574</v>
      </c>
      <c r="D287" s="384" t="s">
        <v>103</v>
      </c>
      <c r="E287" s="385">
        <v>0.547</v>
      </c>
      <c r="F287" s="386">
        <f>ROUND(I287*$J$8,2)</f>
        <v>21.72</v>
      </c>
      <c r="G287" s="387">
        <f>ROUND(E287*F287,2)</f>
        <v>11.88</v>
      </c>
      <c r="I287" s="386">
        <v>21.91</v>
      </c>
    </row>
    <row r="288" spans="1:9" s="272" customFormat="1" ht="12.75">
      <c r="A288" s="382" t="s">
        <v>99</v>
      </c>
      <c r="B288" s="389" t="s">
        <v>208</v>
      </c>
      <c r="C288" s="383" t="s">
        <v>209</v>
      </c>
      <c r="D288" s="384" t="s">
        <v>103</v>
      </c>
      <c r="E288" s="385">
        <v>0.273</v>
      </c>
      <c r="F288" s="386">
        <f>ROUND(I288*$J$8,2)</f>
        <v>16.94</v>
      </c>
      <c r="G288" s="387">
        <f>ROUND(E288*F288,2)</f>
        <v>4.62</v>
      </c>
      <c r="I288" s="386">
        <v>17.09</v>
      </c>
    </row>
    <row r="289" spans="1:14" s="281" customFormat="1" ht="16.5" customHeight="1">
      <c r="A289" s="366" t="s">
        <v>485</v>
      </c>
      <c r="B289" s="365"/>
      <c r="C289" s="365"/>
      <c r="D289" s="365"/>
      <c r="E289" s="365"/>
      <c r="F289" s="364"/>
      <c r="G289" s="397">
        <f>SUM(G285:G286)</f>
        <v>74.13</v>
      </c>
      <c r="H289" s="376"/>
      <c r="I289" s="376"/>
      <c r="J289" s="376"/>
      <c r="K289" s="376"/>
      <c r="L289" s="376"/>
      <c r="M289" s="376"/>
      <c r="N289" s="376"/>
    </row>
    <row r="290" spans="1:14" s="281" customFormat="1" ht="16.5" customHeight="1">
      <c r="A290" s="366" t="s">
        <v>488</v>
      </c>
      <c r="B290" s="365"/>
      <c r="C290" s="365"/>
      <c r="D290" s="365"/>
      <c r="E290" s="365"/>
      <c r="F290" s="364"/>
      <c r="G290" s="397">
        <f>SUM(G287:G288)</f>
        <v>16.5</v>
      </c>
      <c r="H290" s="376"/>
      <c r="I290" s="376"/>
      <c r="J290" s="376"/>
      <c r="K290" s="376"/>
      <c r="L290" s="376"/>
      <c r="M290" s="376"/>
      <c r="N290" s="376"/>
    </row>
    <row r="291" spans="1:14" s="281" customFormat="1" ht="16.5" customHeight="1">
      <c r="A291" s="369" t="s">
        <v>486</v>
      </c>
      <c r="B291" s="368"/>
      <c r="C291" s="368"/>
      <c r="D291" s="368"/>
      <c r="E291" s="368"/>
      <c r="F291" s="367"/>
      <c r="G291" s="398">
        <f>SUM(G289:G290)</f>
        <v>90.63</v>
      </c>
      <c r="H291" s="394"/>
      <c r="I291" s="394"/>
      <c r="J291" s="394"/>
      <c r="K291" s="394"/>
      <c r="L291" s="394"/>
      <c r="M291" s="394"/>
      <c r="N291" s="394"/>
    </row>
    <row r="292" spans="1:14" s="281" customFormat="1" ht="16.5" customHeight="1">
      <c r="A292" s="366" t="s">
        <v>489</v>
      </c>
      <c r="B292" s="365"/>
      <c r="C292" s="365"/>
      <c r="D292" s="365"/>
      <c r="E292" s="365"/>
      <c r="F292" s="364"/>
      <c r="G292" s="397">
        <f>ROUND(G291*$H$8,2)</f>
        <v>26.53</v>
      </c>
      <c r="H292" s="376"/>
      <c r="I292" s="376"/>
      <c r="J292" s="376"/>
      <c r="K292" s="376"/>
      <c r="L292" s="376"/>
      <c r="M292" s="376"/>
      <c r="N292" s="376"/>
    </row>
    <row r="293" spans="1:14" s="281" customFormat="1" ht="16.5" customHeight="1">
      <c r="A293" s="369" t="s">
        <v>487</v>
      </c>
      <c r="B293" s="368"/>
      <c r="C293" s="368"/>
      <c r="D293" s="368"/>
      <c r="E293" s="368"/>
      <c r="F293" s="367"/>
      <c r="G293" s="398">
        <f>SUM(G291:G292)</f>
        <v>117.16</v>
      </c>
      <c r="H293" s="394"/>
      <c r="I293" s="394"/>
      <c r="J293" s="394"/>
      <c r="K293" s="394"/>
      <c r="L293" s="394"/>
      <c r="M293" s="394"/>
      <c r="N293" s="394"/>
    </row>
    <row r="294" spans="2:13" s="281" customFormat="1" ht="13.5">
      <c r="B294" s="284"/>
      <c r="E294" s="362"/>
      <c r="F294" s="362"/>
      <c r="G294" s="362"/>
      <c r="I294" s="362"/>
      <c r="J294" s="283"/>
      <c r="K294" s="282"/>
      <c r="L294" s="282"/>
      <c r="M294" s="282"/>
    </row>
    <row r="295" spans="1:9" s="272" customFormat="1" ht="44.25" customHeight="1">
      <c r="A295" s="390" t="str">
        <f>ORÇAMENTO!B43</f>
        <v>SINAPI</v>
      </c>
      <c r="B295" s="388" t="str">
        <f>ORÇAMENTO!C43</f>
        <v>101965</v>
      </c>
      <c r="C295" s="252" t="str">
        <f>ORÇAMENTO!D43</f>
        <v>PEITORIL LINEAR EM GRANITO OU MÁRMORE, L = 15CM, COMPRIMENTO DE ATÉ 2M, ASSENTADO COM ARGAMASSA 1:6 COM ADITIVO. AF_11/2020</v>
      </c>
      <c r="D295" s="252"/>
      <c r="E295" s="252"/>
      <c r="F295" s="391" t="s">
        <v>295</v>
      </c>
      <c r="G295" s="396" t="str">
        <f>ORÇAMENTO!E43</f>
        <v>M</v>
      </c>
      <c r="H295" s="310">
        <f>ORÇAMENTO!L43</f>
        <v>123.09</v>
      </c>
      <c r="I295" s="163" t="s">
        <v>295</v>
      </c>
    </row>
    <row r="296" spans="1:9" s="291" customFormat="1" ht="16.5" customHeight="1">
      <c r="A296" s="391" t="s">
        <v>296</v>
      </c>
      <c r="B296" s="392" t="s">
        <v>102</v>
      </c>
      <c r="C296" s="391" t="s">
        <v>36</v>
      </c>
      <c r="D296" s="399" t="s">
        <v>297</v>
      </c>
      <c r="E296" s="400" t="s">
        <v>26</v>
      </c>
      <c r="F296" s="393" t="s">
        <v>298</v>
      </c>
      <c r="G296" s="393" t="s">
        <v>10</v>
      </c>
      <c r="I296" s="393" t="s">
        <v>298</v>
      </c>
    </row>
    <row r="297" spans="1:9" s="272" customFormat="1" ht="25.5">
      <c r="A297" s="382" t="s">
        <v>197</v>
      </c>
      <c r="B297" s="389" t="s">
        <v>575</v>
      </c>
      <c r="C297" s="383" t="s">
        <v>576</v>
      </c>
      <c r="D297" s="384" t="s">
        <v>304</v>
      </c>
      <c r="E297" s="385">
        <v>1.04</v>
      </c>
      <c r="F297" s="386">
        <f aca="true" t="shared" si="10" ref="F297:F302">ROUND(I297*$I$8,2)</f>
        <v>94.83</v>
      </c>
      <c r="G297" s="387">
        <f aca="true" t="shared" si="11" ref="G297:G302">ROUND(E297*F297,2)</f>
        <v>98.62</v>
      </c>
      <c r="I297" s="386">
        <v>95.05</v>
      </c>
    </row>
    <row r="298" spans="1:9" s="272" customFormat="1" ht="63.75">
      <c r="A298" s="382" t="s">
        <v>99</v>
      </c>
      <c r="B298" s="389" t="s">
        <v>577</v>
      </c>
      <c r="C298" s="383" t="s">
        <v>578</v>
      </c>
      <c r="D298" s="384" t="s">
        <v>180</v>
      </c>
      <c r="E298" s="385">
        <v>0.006</v>
      </c>
      <c r="F298" s="386">
        <f t="shared" si="10"/>
        <v>444.68</v>
      </c>
      <c r="G298" s="387">
        <f t="shared" si="11"/>
        <v>2.67</v>
      </c>
      <c r="I298" s="386">
        <v>445.71</v>
      </c>
    </row>
    <row r="299" spans="1:9" s="272" customFormat="1" ht="25.5">
      <c r="A299" s="382" t="s">
        <v>99</v>
      </c>
      <c r="B299" s="389" t="s">
        <v>573</v>
      </c>
      <c r="C299" s="383" t="s">
        <v>574</v>
      </c>
      <c r="D299" s="384" t="s">
        <v>103</v>
      </c>
      <c r="E299" s="385">
        <v>0.419</v>
      </c>
      <c r="F299" s="386">
        <f>ROUND(I299*$J$8,2)</f>
        <v>21.72</v>
      </c>
      <c r="G299" s="387">
        <f t="shared" si="11"/>
        <v>9.1</v>
      </c>
      <c r="I299" s="386">
        <v>21.91</v>
      </c>
    </row>
    <row r="300" spans="1:9" s="272" customFormat="1" ht="12.75">
      <c r="A300" s="382" t="s">
        <v>99</v>
      </c>
      <c r="B300" s="389" t="s">
        <v>208</v>
      </c>
      <c r="C300" s="383" t="s">
        <v>209</v>
      </c>
      <c r="D300" s="384" t="s">
        <v>103</v>
      </c>
      <c r="E300" s="385">
        <v>0.209</v>
      </c>
      <c r="F300" s="386">
        <f>ROUND(I300*$J$8,2)</f>
        <v>16.94</v>
      </c>
      <c r="G300" s="387">
        <f t="shared" si="11"/>
        <v>3.54</v>
      </c>
      <c r="I300" s="386">
        <v>17.09</v>
      </c>
    </row>
    <row r="301" spans="1:9" s="272" customFormat="1" ht="38.25">
      <c r="A301" s="382" t="s">
        <v>99</v>
      </c>
      <c r="B301" s="389" t="s">
        <v>579</v>
      </c>
      <c r="C301" s="383" t="s">
        <v>580</v>
      </c>
      <c r="D301" s="384" t="s">
        <v>213</v>
      </c>
      <c r="E301" s="385">
        <v>0.021</v>
      </c>
      <c r="F301" s="386">
        <f t="shared" si="10"/>
        <v>22.49</v>
      </c>
      <c r="G301" s="387">
        <f t="shared" si="11"/>
        <v>0.47</v>
      </c>
      <c r="I301" s="386">
        <v>22.54</v>
      </c>
    </row>
    <row r="302" spans="1:9" s="272" customFormat="1" ht="38.25">
      <c r="A302" s="382" t="s">
        <v>99</v>
      </c>
      <c r="B302" s="389" t="s">
        <v>581</v>
      </c>
      <c r="C302" s="383" t="s">
        <v>582</v>
      </c>
      <c r="D302" s="384" t="s">
        <v>509</v>
      </c>
      <c r="E302" s="385">
        <v>0.398</v>
      </c>
      <c r="F302" s="386">
        <f t="shared" si="10"/>
        <v>20.94</v>
      </c>
      <c r="G302" s="387">
        <f t="shared" si="11"/>
        <v>8.33</v>
      </c>
      <c r="I302" s="386">
        <v>20.99</v>
      </c>
    </row>
    <row r="303" spans="1:14" s="281" customFormat="1" ht="16.5" customHeight="1">
      <c r="A303" s="366" t="s">
        <v>485</v>
      </c>
      <c r="B303" s="365"/>
      <c r="C303" s="365"/>
      <c r="D303" s="365"/>
      <c r="E303" s="365"/>
      <c r="F303" s="364"/>
      <c r="G303" s="397">
        <f>SUM(G297:G298)</f>
        <v>101.29</v>
      </c>
      <c r="H303" s="376"/>
      <c r="I303" s="376"/>
      <c r="J303" s="376"/>
      <c r="K303" s="376"/>
      <c r="L303" s="376"/>
      <c r="M303" s="376"/>
      <c r="N303" s="376"/>
    </row>
    <row r="304" spans="1:14" s="281" customFormat="1" ht="16.5" customHeight="1">
      <c r="A304" s="366" t="s">
        <v>488</v>
      </c>
      <c r="B304" s="365"/>
      <c r="C304" s="365"/>
      <c r="D304" s="365"/>
      <c r="E304" s="365"/>
      <c r="F304" s="364"/>
      <c r="G304" s="397">
        <f>SUM(G299:G302)</f>
        <v>21.44</v>
      </c>
      <c r="H304" s="376"/>
      <c r="I304" s="376"/>
      <c r="J304" s="376"/>
      <c r="K304" s="376"/>
      <c r="L304" s="376"/>
      <c r="M304" s="376"/>
      <c r="N304" s="376"/>
    </row>
    <row r="305" spans="1:14" s="281" customFormat="1" ht="16.5" customHeight="1">
      <c r="A305" s="369" t="s">
        <v>486</v>
      </c>
      <c r="B305" s="368"/>
      <c r="C305" s="368"/>
      <c r="D305" s="368"/>
      <c r="E305" s="368"/>
      <c r="F305" s="367"/>
      <c r="G305" s="398">
        <f>SUM(G303:G304)</f>
        <v>122.73</v>
      </c>
      <c r="H305" s="394"/>
      <c r="I305" s="394"/>
      <c r="J305" s="394"/>
      <c r="K305" s="394"/>
      <c r="L305" s="394"/>
      <c r="M305" s="394"/>
      <c r="N305" s="394"/>
    </row>
    <row r="306" spans="1:14" s="281" customFormat="1" ht="16.5" customHeight="1">
      <c r="A306" s="366" t="s">
        <v>489</v>
      </c>
      <c r="B306" s="365"/>
      <c r="C306" s="365"/>
      <c r="D306" s="365"/>
      <c r="E306" s="365"/>
      <c r="F306" s="364"/>
      <c r="G306" s="397">
        <f>ROUND(G305*$H$8,2)</f>
        <v>35.92</v>
      </c>
      <c r="H306" s="376"/>
      <c r="I306" s="376"/>
      <c r="J306" s="376"/>
      <c r="K306" s="376"/>
      <c r="L306" s="376"/>
      <c r="M306" s="376"/>
      <c r="N306" s="376"/>
    </row>
    <row r="307" spans="1:14" s="281" customFormat="1" ht="16.5" customHeight="1">
      <c r="A307" s="369" t="s">
        <v>487</v>
      </c>
      <c r="B307" s="368"/>
      <c r="C307" s="368"/>
      <c r="D307" s="368"/>
      <c r="E307" s="368"/>
      <c r="F307" s="367"/>
      <c r="G307" s="398">
        <f>SUM(G305:G306)</f>
        <v>158.65</v>
      </c>
      <c r="H307" s="394"/>
      <c r="I307" s="394"/>
      <c r="J307" s="394"/>
      <c r="K307" s="394"/>
      <c r="L307" s="394"/>
      <c r="M307" s="394"/>
      <c r="N307" s="394"/>
    </row>
    <row r="308" spans="2:13" s="281" customFormat="1" ht="13.5">
      <c r="B308" s="284"/>
      <c r="E308" s="362"/>
      <c r="F308" s="362"/>
      <c r="G308" s="362"/>
      <c r="I308" s="362"/>
      <c r="J308" s="283"/>
      <c r="K308" s="282"/>
      <c r="L308" s="282"/>
      <c r="M308" s="282"/>
    </row>
    <row r="309" spans="1:9" s="272" customFormat="1" ht="44.25" customHeight="1">
      <c r="A309" s="390" t="str">
        <f>ORÇAMENTO!B45</f>
        <v>SINAPI</v>
      </c>
      <c r="B309" s="388" t="str">
        <f>ORÇAMENTO!C45</f>
        <v>94990</v>
      </c>
      <c r="C309" s="252" t="str">
        <f>ORÇAMENTO!D45</f>
        <v>EXECUÇÃO DE PASSEIO (CALÇADA) OU PISO DE CONCRETO COM CONCRETO MOLDADO IN LOCO, FEITO EM OBRA, ACABAMENTO CONVENCIONAL, NÃO ARMADO. AF_07/2016</v>
      </c>
      <c r="D309" s="252"/>
      <c r="E309" s="252"/>
      <c r="F309" s="391" t="s">
        <v>295</v>
      </c>
      <c r="G309" s="396" t="str">
        <f>ORÇAMENTO!E45</f>
        <v>M3</v>
      </c>
      <c r="H309" s="310">
        <f>ORÇAMENTO!L45</f>
        <v>783.65</v>
      </c>
      <c r="I309" s="163" t="s">
        <v>295</v>
      </c>
    </row>
    <row r="310" spans="1:9" s="291" customFormat="1" ht="16.5" customHeight="1">
      <c r="A310" s="391" t="s">
        <v>296</v>
      </c>
      <c r="B310" s="392" t="s">
        <v>102</v>
      </c>
      <c r="C310" s="391" t="s">
        <v>36</v>
      </c>
      <c r="D310" s="399" t="s">
        <v>297</v>
      </c>
      <c r="E310" s="400" t="s">
        <v>26</v>
      </c>
      <c r="F310" s="393" t="s">
        <v>298</v>
      </c>
      <c r="G310" s="393" t="s">
        <v>10</v>
      </c>
      <c r="I310" s="393" t="s">
        <v>298</v>
      </c>
    </row>
    <row r="311" spans="1:9" s="272" customFormat="1" ht="38.25">
      <c r="A311" s="382" t="s">
        <v>197</v>
      </c>
      <c r="B311" s="389" t="s">
        <v>452</v>
      </c>
      <c r="C311" s="383" t="s">
        <v>453</v>
      </c>
      <c r="D311" s="384" t="s">
        <v>304</v>
      </c>
      <c r="E311" s="385">
        <v>2.5</v>
      </c>
      <c r="F311" s="386">
        <f>ROUND(I311*$I$8,2)</f>
        <v>7.54</v>
      </c>
      <c r="G311" s="387">
        <f aca="true" t="shared" si="12" ref="G311:G316">ROUND(E311*F311,2)</f>
        <v>18.85</v>
      </c>
      <c r="I311" s="386">
        <v>7.56</v>
      </c>
    </row>
    <row r="312" spans="1:9" s="272" customFormat="1" ht="25.5">
      <c r="A312" s="382" t="s">
        <v>197</v>
      </c>
      <c r="B312" s="389" t="s">
        <v>583</v>
      </c>
      <c r="C312" s="383" t="s">
        <v>584</v>
      </c>
      <c r="D312" s="384" t="s">
        <v>304</v>
      </c>
      <c r="E312" s="385">
        <v>2</v>
      </c>
      <c r="F312" s="386">
        <f>ROUND(I312*$I$8,2)</f>
        <v>3.31</v>
      </c>
      <c r="G312" s="387">
        <f t="shared" si="12"/>
        <v>6.62</v>
      </c>
      <c r="I312" s="386">
        <v>3.32</v>
      </c>
    </row>
    <row r="313" spans="1:9" s="272" customFormat="1" ht="25.5">
      <c r="A313" s="382" t="s">
        <v>99</v>
      </c>
      <c r="B313" s="389" t="s">
        <v>206</v>
      </c>
      <c r="C313" s="383" t="s">
        <v>207</v>
      </c>
      <c r="D313" s="384" t="s">
        <v>103</v>
      </c>
      <c r="E313" s="385">
        <v>2.256</v>
      </c>
      <c r="F313" s="386">
        <f>ROUND(I313*$J$8,2)</f>
        <v>20.89</v>
      </c>
      <c r="G313" s="387">
        <f t="shared" si="12"/>
        <v>47.13</v>
      </c>
      <c r="I313" s="386">
        <v>21.07</v>
      </c>
    </row>
    <row r="314" spans="1:9" s="272" customFormat="1" ht="12.75">
      <c r="A314" s="382" t="s">
        <v>99</v>
      </c>
      <c r="B314" s="389" t="s">
        <v>448</v>
      </c>
      <c r="C314" s="383" t="s">
        <v>449</v>
      </c>
      <c r="D314" s="384" t="s">
        <v>103</v>
      </c>
      <c r="E314" s="385">
        <v>1.983</v>
      </c>
      <c r="F314" s="386">
        <f>ROUND(I314*$J$8,2)</f>
        <v>21.13</v>
      </c>
      <c r="G314" s="387">
        <f t="shared" si="12"/>
        <v>41.9</v>
      </c>
      <c r="I314" s="386">
        <v>21.31</v>
      </c>
    </row>
    <row r="315" spans="1:9" s="272" customFormat="1" ht="12.75">
      <c r="A315" s="382" t="s">
        <v>99</v>
      </c>
      <c r="B315" s="389" t="s">
        <v>208</v>
      </c>
      <c r="C315" s="383" t="s">
        <v>209</v>
      </c>
      <c r="D315" s="384" t="s">
        <v>103</v>
      </c>
      <c r="E315" s="385">
        <v>4.239</v>
      </c>
      <c r="F315" s="386">
        <f>ROUND(I315*$J$8,2)</f>
        <v>16.94</v>
      </c>
      <c r="G315" s="387">
        <f t="shared" si="12"/>
        <v>71.81</v>
      </c>
      <c r="I315" s="386">
        <v>17.09</v>
      </c>
    </row>
    <row r="316" spans="1:9" s="272" customFormat="1" ht="38.25">
      <c r="A316" s="382" t="s">
        <v>99</v>
      </c>
      <c r="B316" s="389" t="s">
        <v>585</v>
      </c>
      <c r="C316" s="383" t="s">
        <v>586</v>
      </c>
      <c r="D316" s="384" t="s">
        <v>180</v>
      </c>
      <c r="E316" s="385">
        <v>1.213</v>
      </c>
      <c r="F316" s="386">
        <f>ROUND(I316*$I$8,2)</f>
        <v>490.13</v>
      </c>
      <c r="G316" s="387">
        <f t="shared" si="12"/>
        <v>594.53</v>
      </c>
      <c r="I316" s="386">
        <v>491.26</v>
      </c>
    </row>
    <row r="317" spans="1:14" s="281" customFormat="1" ht="16.5" customHeight="1">
      <c r="A317" s="366" t="s">
        <v>485</v>
      </c>
      <c r="B317" s="365"/>
      <c r="C317" s="365"/>
      <c r="D317" s="365"/>
      <c r="E317" s="365"/>
      <c r="F317" s="364"/>
      <c r="G317" s="397">
        <f>SUM(G316,G311:G312)</f>
        <v>620</v>
      </c>
      <c r="H317" s="376"/>
      <c r="I317" s="376"/>
      <c r="J317" s="376"/>
      <c r="K317" s="376"/>
      <c r="L317" s="376"/>
      <c r="M317" s="376"/>
      <c r="N317" s="376"/>
    </row>
    <row r="318" spans="1:14" s="281" customFormat="1" ht="16.5" customHeight="1">
      <c r="A318" s="366" t="s">
        <v>488</v>
      </c>
      <c r="B318" s="365"/>
      <c r="C318" s="365"/>
      <c r="D318" s="365"/>
      <c r="E318" s="365"/>
      <c r="F318" s="364"/>
      <c r="G318" s="397">
        <f>SUM(G313:G315)</f>
        <v>160.84</v>
      </c>
      <c r="H318" s="376"/>
      <c r="I318" s="376"/>
      <c r="J318" s="376"/>
      <c r="K318" s="376"/>
      <c r="L318" s="376"/>
      <c r="M318" s="376"/>
      <c r="N318" s="376"/>
    </row>
    <row r="319" spans="1:14" s="281" customFormat="1" ht="16.5" customHeight="1">
      <c r="A319" s="369" t="s">
        <v>486</v>
      </c>
      <c r="B319" s="368"/>
      <c r="C319" s="368"/>
      <c r="D319" s="368"/>
      <c r="E319" s="368"/>
      <c r="F319" s="367"/>
      <c r="G319" s="398">
        <f>SUM(G317:G318)</f>
        <v>780.84</v>
      </c>
      <c r="H319" s="394"/>
      <c r="I319" s="394"/>
      <c r="J319" s="394"/>
      <c r="K319" s="394"/>
      <c r="L319" s="394"/>
      <c r="M319" s="394"/>
      <c r="N319" s="394"/>
    </row>
    <row r="320" spans="1:14" s="281" customFormat="1" ht="16.5" customHeight="1">
      <c r="A320" s="366" t="s">
        <v>489</v>
      </c>
      <c r="B320" s="365"/>
      <c r="C320" s="365"/>
      <c r="D320" s="365"/>
      <c r="E320" s="365"/>
      <c r="F320" s="364"/>
      <c r="G320" s="397">
        <f>ROUND(G319*$H$8,2)</f>
        <v>228.55</v>
      </c>
      <c r="H320" s="376"/>
      <c r="I320" s="376"/>
      <c r="J320" s="376"/>
      <c r="K320" s="376"/>
      <c r="L320" s="376"/>
      <c r="M320" s="376"/>
      <c r="N320" s="376"/>
    </row>
    <row r="321" spans="1:14" s="281" customFormat="1" ht="16.5" customHeight="1">
      <c r="A321" s="369" t="s">
        <v>487</v>
      </c>
      <c r="B321" s="368"/>
      <c r="C321" s="368"/>
      <c r="D321" s="368"/>
      <c r="E321" s="368"/>
      <c r="F321" s="367"/>
      <c r="G321" s="398">
        <f>SUM(G319:G320)</f>
        <v>1009.3900000000001</v>
      </c>
      <c r="H321" s="394"/>
      <c r="I321" s="394"/>
      <c r="J321" s="394"/>
      <c r="K321" s="394"/>
      <c r="L321" s="394"/>
      <c r="M321" s="394"/>
      <c r="N321" s="394"/>
    </row>
    <row r="322" spans="2:13" s="281" customFormat="1" ht="13.5">
      <c r="B322" s="284"/>
      <c r="E322" s="362"/>
      <c r="F322" s="362"/>
      <c r="G322" s="362"/>
      <c r="I322" s="362"/>
      <c r="J322" s="283"/>
      <c r="K322" s="282"/>
      <c r="L322" s="282"/>
      <c r="M322" s="282"/>
    </row>
    <row r="323" spans="1:9" s="272" customFormat="1" ht="44.25" customHeight="1">
      <c r="A323" s="390" t="str">
        <f>ORÇAMENTO!B46</f>
        <v>SINAPI</v>
      </c>
      <c r="B323" s="388" t="str">
        <f>ORÇAMENTO!C46</f>
        <v>87260</v>
      </c>
      <c r="C323" s="252" t="str">
        <f>ORÇAMENTO!D46</f>
        <v>REVESTIMENTO CERÂMICO PARA PISO COM PLACAS TIPO PORCELANATO DE DIMENSÕES 45X45 CM APLICADA EM AMBIENTES DE ÁREA MAIOR QUE 10 M². AF_06/2014</v>
      </c>
      <c r="D323" s="252"/>
      <c r="E323" s="252"/>
      <c r="F323" s="391" t="s">
        <v>295</v>
      </c>
      <c r="G323" s="396" t="str">
        <f>ORÇAMENTO!E46</f>
        <v>M2</v>
      </c>
      <c r="H323" s="310">
        <f>ORÇAMENTO!L46</f>
        <v>145.92</v>
      </c>
      <c r="I323" s="163" t="s">
        <v>295</v>
      </c>
    </row>
    <row r="324" spans="1:9" s="291" customFormat="1" ht="16.5" customHeight="1">
      <c r="A324" s="391" t="s">
        <v>296</v>
      </c>
      <c r="B324" s="392" t="s">
        <v>102</v>
      </c>
      <c r="C324" s="391" t="s">
        <v>36</v>
      </c>
      <c r="D324" s="399" t="s">
        <v>297</v>
      </c>
      <c r="E324" s="400" t="s">
        <v>26</v>
      </c>
      <c r="F324" s="393" t="s">
        <v>298</v>
      </c>
      <c r="G324" s="393" t="s">
        <v>10</v>
      </c>
      <c r="I324" s="393" t="s">
        <v>298</v>
      </c>
    </row>
    <row r="325" spans="1:9" s="272" customFormat="1" ht="25.5">
      <c r="A325" s="382" t="s">
        <v>197</v>
      </c>
      <c r="B325" s="389" t="s">
        <v>587</v>
      </c>
      <c r="C325" s="383" t="s">
        <v>588</v>
      </c>
      <c r="D325" s="384" t="s">
        <v>176</v>
      </c>
      <c r="E325" s="385">
        <v>1.06</v>
      </c>
      <c r="F325" s="386">
        <f>ROUND(I325*$I$8,2)</f>
        <v>108.15</v>
      </c>
      <c r="G325" s="387">
        <f>ROUND(E325*F325,2)</f>
        <v>114.64</v>
      </c>
      <c r="I325" s="386">
        <v>108.4</v>
      </c>
    </row>
    <row r="326" spans="1:9" s="272" customFormat="1" ht="12.75">
      <c r="A326" s="382" t="s">
        <v>197</v>
      </c>
      <c r="B326" s="389" t="s">
        <v>548</v>
      </c>
      <c r="C326" s="383" t="s">
        <v>549</v>
      </c>
      <c r="D326" s="384" t="s">
        <v>305</v>
      </c>
      <c r="E326" s="385">
        <v>0.24</v>
      </c>
      <c r="F326" s="386">
        <f>ROUND(I326*$I$8,2)</f>
        <v>4.1</v>
      </c>
      <c r="G326" s="387">
        <f>ROUND(E326*F326,2)</f>
        <v>0.98</v>
      </c>
      <c r="I326" s="386">
        <v>4.11</v>
      </c>
    </row>
    <row r="327" spans="1:9" s="272" customFormat="1" ht="12.75">
      <c r="A327" s="382" t="s">
        <v>197</v>
      </c>
      <c r="B327" s="389" t="s">
        <v>571</v>
      </c>
      <c r="C327" s="383" t="s">
        <v>572</v>
      </c>
      <c r="D327" s="384" t="s">
        <v>305</v>
      </c>
      <c r="E327" s="385">
        <v>8.62</v>
      </c>
      <c r="F327" s="386">
        <f>ROUND(I327*$I$8,2)</f>
        <v>2.15</v>
      </c>
      <c r="G327" s="387">
        <f>ROUND(E327*F327,2)</f>
        <v>18.53</v>
      </c>
      <c r="I327" s="386">
        <v>2.15</v>
      </c>
    </row>
    <row r="328" spans="1:9" s="272" customFormat="1" ht="25.5">
      <c r="A328" s="382" t="s">
        <v>99</v>
      </c>
      <c r="B328" s="389" t="s">
        <v>524</v>
      </c>
      <c r="C328" s="383" t="s">
        <v>525</v>
      </c>
      <c r="D328" s="384" t="s">
        <v>103</v>
      </c>
      <c r="E328" s="385">
        <v>0.39</v>
      </c>
      <c r="F328" s="386">
        <f>ROUND(I328*$J$8,2)</f>
        <v>21.05</v>
      </c>
      <c r="G328" s="387">
        <f>ROUND(E328*F328,2)</f>
        <v>8.21</v>
      </c>
      <c r="I328" s="386">
        <v>21.23</v>
      </c>
    </row>
    <row r="329" spans="1:9" s="272" customFormat="1" ht="12.75">
      <c r="A329" s="382" t="s">
        <v>99</v>
      </c>
      <c r="B329" s="389" t="s">
        <v>208</v>
      </c>
      <c r="C329" s="383" t="s">
        <v>209</v>
      </c>
      <c r="D329" s="384" t="s">
        <v>103</v>
      </c>
      <c r="E329" s="385">
        <v>0.19</v>
      </c>
      <c r="F329" s="386">
        <f>ROUND(I329*$J$8,2)</f>
        <v>16.94</v>
      </c>
      <c r="G329" s="387">
        <f>ROUND(E329*F329,2)</f>
        <v>3.22</v>
      </c>
      <c r="I329" s="386">
        <v>17.09</v>
      </c>
    </row>
    <row r="330" spans="1:14" s="281" customFormat="1" ht="16.5" customHeight="1">
      <c r="A330" s="366" t="s">
        <v>485</v>
      </c>
      <c r="B330" s="365"/>
      <c r="C330" s="365"/>
      <c r="D330" s="365"/>
      <c r="E330" s="365"/>
      <c r="F330" s="364"/>
      <c r="G330" s="397">
        <f>SUM(G325:G327)</f>
        <v>134.15</v>
      </c>
      <c r="H330" s="376"/>
      <c r="I330" s="376"/>
      <c r="J330" s="376"/>
      <c r="K330" s="376"/>
      <c r="L330" s="376"/>
      <c r="M330" s="376"/>
      <c r="N330" s="376"/>
    </row>
    <row r="331" spans="1:14" s="281" customFormat="1" ht="16.5" customHeight="1">
      <c r="A331" s="366" t="s">
        <v>488</v>
      </c>
      <c r="B331" s="365"/>
      <c r="C331" s="365"/>
      <c r="D331" s="365"/>
      <c r="E331" s="365"/>
      <c r="F331" s="364"/>
      <c r="G331" s="397">
        <f>SUM(G328:G329)</f>
        <v>11.430000000000001</v>
      </c>
      <c r="H331" s="376"/>
      <c r="I331" s="376"/>
      <c r="J331" s="376"/>
      <c r="K331" s="376"/>
      <c r="L331" s="376"/>
      <c r="M331" s="376"/>
      <c r="N331" s="376"/>
    </row>
    <row r="332" spans="1:14" s="281" customFormat="1" ht="16.5" customHeight="1">
      <c r="A332" s="369" t="s">
        <v>486</v>
      </c>
      <c r="B332" s="368"/>
      <c r="C332" s="368"/>
      <c r="D332" s="368"/>
      <c r="E332" s="368"/>
      <c r="F332" s="367"/>
      <c r="G332" s="398">
        <f>SUM(G330:G331)</f>
        <v>145.58</v>
      </c>
      <c r="H332" s="394"/>
      <c r="I332" s="394"/>
      <c r="J332" s="394"/>
      <c r="K332" s="394"/>
      <c r="L332" s="394"/>
      <c r="M332" s="394"/>
      <c r="N332" s="394"/>
    </row>
    <row r="333" spans="1:14" s="281" customFormat="1" ht="16.5" customHeight="1">
      <c r="A333" s="366" t="s">
        <v>489</v>
      </c>
      <c r="B333" s="365"/>
      <c r="C333" s="365"/>
      <c r="D333" s="365"/>
      <c r="E333" s="365"/>
      <c r="F333" s="364"/>
      <c r="G333" s="397">
        <f>ROUND(G332*$H$8,2)</f>
        <v>42.61</v>
      </c>
      <c r="H333" s="376"/>
      <c r="I333" s="376"/>
      <c r="J333" s="376"/>
      <c r="K333" s="376"/>
      <c r="L333" s="376"/>
      <c r="M333" s="376"/>
      <c r="N333" s="376"/>
    </row>
    <row r="334" spans="1:14" s="281" customFormat="1" ht="16.5" customHeight="1">
      <c r="A334" s="369" t="s">
        <v>487</v>
      </c>
      <c r="B334" s="368"/>
      <c r="C334" s="368"/>
      <c r="D334" s="368"/>
      <c r="E334" s="368"/>
      <c r="F334" s="367"/>
      <c r="G334" s="398">
        <f>SUM(G332:G333)</f>
        <v>188.19</v>
      </c>
      <c r="H334" s="394"/>
      <c r="I334" s="394"/>
      <c r="J334" s="394"/>
      <c r="K334" s="394"/>
      <c r="L334" s="394"/>
      <c r="M334" s="394"/>
      <c r="N334" s="394"/>
    </row>
    <row r="335" spans="2:13" s="281" customFormat="1" ht="13.5">
      <c r="B335" s="284"/>
      <c r="E335" s="362"/>
      <c r="F335" s="362"/>
      <c r="G335" s="362"/>
      <c r="I335" s="362"/>
      <c r="J335" s="283"/>
      <c r="K335" s="282"/>
      <c r="L335" s="282"/>
      <c r="M335" s="282"/>
    </row>
    <row r="336" spans="1:9" s="272" customFormat="1" ht="44.25" customHeight="1">
      <c r="A336" s="390" t="str">
        <f>ORÇAMENTO!B47</f>
        <v>SINAPI</v>
      </c>
      <c r="B336" s="388" t="str">
        <f>ORÇAMENTO!C47</f>
        <v>101749</v>
      </c>
      <c r="C336" s="252" t="str">
        <f>ORÇAMENTO!D47</f>
        <v>PISO CIMENTADO, TRAÇO 1:3 (CIMENTO E AREIA), ACABAMENTO LISO, ESPESSURA 4,0 CM, PREPARO MECÂNICO DA ARGAMASSA. AF_09/2020</v>
      </c>
      <c r="D336" s="252"/>
      <c r="E336" s="252"/>
      <c r="F336" s="391" t="s">
        <v>295</v>
      </c>
      <c r="G336" s="396" t="str">
        <f>ORÇAMENTO!E47</f>
        <v>M2</v>
      </c>
      <c r="H336" s="310">
        <f>ORÇAMENTO!L47</f>
        <v>52.46</v>
      </c>
      <c r="I336" s="163" t="s">
        <v>295</v>
      </c>
    </row>
    <row r="337" spans="1:9" s="291" customFormat="1" ht="16.5" customHeight="1">
      <c r="A337" s="391" t="s">
        <v>296</v>
      </c>
      <c r="B337" s="392" t="s">
        <v>102</v>
      </c>
      <c r="C337" s="391" t="s">
        <v>36</v>
      </c>
      <c r="D337" s="399" t="s">
        <v>297</v>
      </c>
      <c r="E337" s="400" t="s">
        <v>26</v>
      </c>
      <c r="F337" s="393" t="s">
        <v>298</v>
      </c>
      <c r="G337" s="393" t="s">
        <v>10</v>
      </c>
      <c r="I337" s="393" t="s">
        <v>298</v>
      </c>
    </row>
    <row r="338" spans="1:9" s="272" customFormat="1" ht="12.75">
      <c r="A338" s="382" t="s">
        <v>197</v>
      </c>
      <c r="B338" s="389" t="s">
        <v>589</v>
      </c>
      <c r="C338" s="383" t="s">
        <v>590</v>
      </c>
      <c r="D338" s="384" t="s">
        <v>305</v>
      </c>
      <c r="E338" s="385">
        <v>0.5</v>
      </c>
      <c r="F338" s="386">
        <f>ROUND(I338*$I$8,2)</f>
        <v>0.92</v>
      </c>
      <c r="G338" s="387">
        <f>ROUND(E338*F338,2)</f>
        <v>0.46</v>
      </c>
      <c r="I338" s="386">
        <v>0.92</v>
      </c>
    </row>
    <row r="339" spans="1:9" s="272" customFormat="1" ht="25.5">
      <c r="A339" s="382" t="s">
        <v>197</v>
      </c>
      <c r="B339" s="389" t="s">
        <v>591</v>
      </c>
      <c r="C339" s="383" t="s">
        <v>592</v>
      </c>
      <c r="D339" s="384" t="s">
        <v>304</v>
      </c>
      <c r="E339" s="385">
        <v>1.67</v>
      </c>
      <c r="F339" s="386">
        <f>ROUND(I339*$I$8,2)</f>
        <v>1.1</v>
      </c>
      <c r="G339" s="387">
        <f>ROUND(E339*F339,2)</f>
        <v>1.84</v>
      </c>
      <c r="I339" s="386">
        <v>1.1</v>
      </c>
    </row>
    <row r="340" spans="1:9" s="272" customFormat="1" ht="38.25">
      <c r="A340" s="382" t="s">
        <v>99</v>
      </c>
      <c r="B340" s="389" t="s">
        <v>593</v>
      </c>
      <c r="C340" s="383" t="s">
        <v>594</v>
      </c>
      <c r="D340" s="384" t="s">
        <v>180</v>
      </c>
      <c r="E340" s="385">
        <v>0.053</v>
      </c>
      <c r="F340" s="386">
        <f>ROUND(I340*$I$8,2)</f>
        <v>709.73</v>
      </c>
      <c r="G340" s="387">
        <f>ROUND(E340*F340,2)</f>
        <v>37.62</v>
      </c>
      <c r="I340" s="386">
        <v>711.37</v>
      </c>
    </row>
    <row r="341" spans="1:9" s="272" customFormat="1" ht="12.75">
      <c r="A341" s="382" t="s">
        <v>99</v>
      </c>
      <c r="B341" s="389" t="s">
        <v>448</v>
      </c>
      <c r="C341" s="383" t="s">
        <v>449</v>
      </c>
      <c r="D341" s="384" t="s">
        <v>103</v>
      </c>
      <c r="E341" s="385">
        <v>0.418</v>
      </c>
      <c r="F341" s="386">
        <f>ROUND(I341*$J$8,2)</f>
        <v>21.13</v>
      </c>
      <c r="G341" s="387">
        <f>ROUND(E341*F341,2)</f>
        <v>8.83</v>
      </c>
      <c r="I341" s="386">
        <v>21.31</v>
      </c>
    </row>
    <row r="342" spans="1:9" s="272" customFormat="1" ht="12.75">
      <c r="A342" s="382" t="s">
        <v>99</v>
      </c>
      <c r="B342" s="389" t="s">
        <v>208</v>
      </c>
      <c r="C342" s="383" t="s">
        <v>209</v>
      </c>
      <c r="D342" s="384" t="s">
        <v>103</v>
      </c>
      <c r="E342" s="385">
        <v>0.209</v>
      </c>
      <c r="F342" s="386">
        <f>ROUND(I342*$J$8,2)</f>
        <v>16.94</v>
      </c>
      <c r="G342" s="387">
        <f>ROUND(E342*F342,2)</f>
        <v>3.54</v>
      </c>
      <c r="I342" s="386">
        <v>17.09</v>
      </c>
    </row>
    <row r="343" spans="1:14" s="281" customFormat="1" ht="16.5" customHeight="1">
      <c r="A343" s="366" t="s">
        <v>485</v>
      </c>
      <c r="B343" s="365"/>
      <c r="C343" s="365"/>
      <c r="D343" s="365"/>
      <c r="E343" s="365"/>
      <c r="F343" s="364"/>
      <c r="G343" s="397">
        <f>SUM(G338:G340)</f>
        <v>39.919999999999995</v>
      </c>
      <c r="H343" s="376"/>
      <c r="I343" s="376"/>
      <c r="J343" s="376"/>
      <c r="K343" s="376"/>
      <c r="L343" s="376"/>
      <c r="M343" s="376"/>
      <c r="N343" s="376"/>
    </row>
    <row r="344" spans="1:14" s="281" customFormat="1" ht="16.5" customHeight="1">
      <c r="A344" s="366" t="s">
        <v>488</v>
      </c>
      <c r="B344" s="365"/>
      <c r="C344" s="365"/>
      <c r="D344" s="365"/>
      <c r="E344" s="365"/>
      <c r="F344" s="364"/>
      <c r="G344" s="397">
        <f>SUM(G341:G342)</f>
        <v>12.370000000000001</v>
      </c>
      <c r="H344" s="376"/>
      <c r="I344" s="376"/>
      <c r="J344" s="376"/>
      <c r="K344" s="376"/>
      <c r="L344" s="376"/>
      <c r="M344" s="376"/>
      <c r="N344" s="376"/>
    </row>
    <row r="345" spans="1:14" s="281" customFormat="1" ht="16.5" customHeight="1">
      <c r="A345" s="369" t="s">
        <v>486</v>
      </c>
      <c r="B345" s="368"/>
      <c r="C345" s="368"/>
      <c r="D345" s="368"/>
      <c r="E345" s="368"/>
      <c r="F345" s="367"/>
      <c r="G345" s="398">
        <f>SUM(G343:G344)</f>
        <v>52.28999999999999</v>
      </c>
      <c r="H345" s="394"/>
      <c r="I345" s="394"/>
      <c r="J345" s="394"/>
      <c r="K345" s="394"/>
      <c r="L345" s="394"/>
      <c r="M345" s="394"/>
      <c r="N345" s="394"/>
    </row>
    <row r="346" spans="1:14" s="281" customFormat="1" ht="16.5" customHeight="1">
      <c r="A346" s="366" t="s">
        <v>489</v>
      </c>
      <c r="B346" s="365"/>
      <c r="C346" s="365"/>
      <c r="D346" s="365"/>
      <c r="E346" s="365"/>
      <c r="F346" s="364"/>
      <c r="G346" s="397">
        <f>ROUND(G345*$H$8,2)</f>
        <v>15.31</v>
      </c>
      <c r="H346" s="376"/>
      <c r="I346" s="376"/>
      <c r="J346" s="376"/>
      <c r="K346" s="376"/>
      <c r="L346" s="376"/>
      <c r="M346" s="376"/>
      <c r="N346" s="376"/>
    </row>
    <row r="347" spans="1:14" s="281" customFormat="1" ht="16.5" customHeight="1">
      <c r="A347" s="369" t="s">
        <v>487</v>
      </c>
      <c r="B347" s="368"/>
      <c r="C347" s="368"/>
      <c r="D347" s="368"/>
      <c r="E347" s="368"/>
      <c r="F347" s="367"/>
      <c r="G347" s="398">
        <f>SUM(G345:G346)</f>
        <v>67.6</v>
      </c>
      <c r="H347" s="394"/>
      <c r="I347" s="394"/>
      <c r="J347" s="394"/>
      <c r="K347" s="394"/>
      <c r="L347" s="394"/>
      <c r="M347" s="394"/>
      <c r="N347" s="394"/>
    </row>
    <row r="348" spans="2:13" s="281" customFormat="1" ht="13.5">
      <c r="B348" s="284"/>
      <c r="E348" s="362"/>
      <c r="F348" s="362"/>
      <c r="G348" s="362"/>
      <c r="I348" s="362"/>
      <c r="J348" s="283"/>
      <c r="K348" s="282"/>
      <c r="L348" s="282"/>
      <c r="M348" s="282"/>
    </row>
    <row r="349" spans="1:9" s="272" customFormat="1" ht="44.25" customHeight="1">
      <c r="A349" s="390" t="str">
        <f>ORÇAMENTO!B48</f>
        <v>SINAPI</v>
      </c>
      <c r="B349" s="388" t="str">
        <f>ORÇAMENTO!C48</f>
        <v>94273</v>
      </c>
      <c r="C349" s="252" t="str">
        <f>ORÇAMENTO!D48</f>
        <v>ASSENTAMENTO DE GUIA (MEIO-FIO) EM TRECHO RETO, CONFECCIONADA EM CONCRETO PRÉ-FABRICADO, DIMENSÕES 100X15X13X30 CM (COMPRIMENTO X BASE INFERIOR X BASE SUPERIOR X ALTURA), PARA VIAS URBANAS (USO VIÁRIO). AF_06/2016</v>
      </c>
      <c r="D349" s="252"/>
      <c r="E349" s="252"/>
      <c r="F349" s="391" t="s">
        <v>295</v>
      </c>
      <c r="G349" s="396" t="str">
        <f>ORÇAMENTO!E48</f>
        <v>M</v>
      </c>
      <c r="H349" s="310">
        <f>ORÇAMENTO!L48</f>
        <v>51.27</v>
      </c>
      <c r="I349" s="163" t="s">
        <v>295</v>
      </c>
    </row>
    <row r="350" spans="1:9" s="291" customFormat="1" ht="16.5" customHeight="1">
      <c r="A350" s="391" t="s">
        <v>296</v>
      </c>
      <c r="B350" s="392" t="s">
        <v>102</v>
      </c>
      <c r="C350" s="391" t="s">
        <v>36</v>
      </c>
      <c r="D350" s="399" t="s">
        <v>297</v>
      </c>
      <c r="E350" s="400" t="s">
        <v>26</v>
      </c>
      <c r="F350" s="393" t="s">
        <v>298</v>
      </c>
      <c r="G350" s="393" t="s">
        <v>10</v>
      </c>
      <c r="I350" s="393" t="s">
        <v>298</v>
      </c>
    </row>
    <row r="351" spans="1:9" s="272" customFormat="1" ht="25.5">
      <c r="A351" s="382" t="s">
        <v>197</v>
      </c>
      <c r="B351" s="389" t="s">
        <v>461</v>
      </c>
      <c r="C351" s="383" t="s">
        <v>462</v>
      </c>
      <c r="D351" s="384" t="s">
        <v>463</v>
      </c>
      <c r="E351" s="385">
        <v>0.007</v>
      </c>
      <c r="F351" s="386">
        <f>ROUND(I351*$I$8,2)</f>
        <v>82.31</v>
      </c>
      <c r="G351" s="387">
        <f>ROUND(E351*F351,2)</f>
        <v>0.58</v>
      </c>
      <c r="I351" s="386">
        <v>82.5</v>
      </c>
    </row>
    <row r="352" spans="1:9" s="272" customFormat="1" ht="25.5">
      <c r="A352" s="382" t="s">
        <v>197</v>
      </c>
      <c r="B352" s="389" t="s">
        <v>595</v>
      </c>
      <c r="C352" s="383" t="s">
        <v>596</v>
      </c>
      <c r="D352" s="384" t="s">
        <v>304</v>
      </c>
      <c r="E352" s="385">
        <v>1.005</v>
      </c>
      <c r="F352" s="386">
        <f>ROUND(I352*$I$8,2)</f>
        <v>33.98</v>
      </c>
      <c r="G352" s="387">
        <f>ROUND(E352*F352,2)</f>
        <v>34.15</v>
      </c>
      <c r="I352" s="386">
        <v>34.06</v>
      </c>
    </row>
    <row r="353" spans="1:9" s="272" customFormat="1" ht="12.75">
      <c r="A353" s="382" t="s">
        <v>99</v>
      </c>
      <c r="B353" s="389" t="s">
        <v>448</v>
      </c>
      <c r="C353" s="383" t="s">
        <v>449</v>
      </c>
      <c r="D353" s="384" t="s">
        <v>103</v>
      </c>
      <c r="E353" s="385">
        <v>0.394</v>
      </c>
      <c r="F353" s="386">
        <f>ROUND(I353*$J$8,2)</f>
        <v>21.13</v>
      </c>
      <c r="G353" s="387">
        <f>ROUND(E353*F353,2)</f>
        <v>8.33</v>
      </c>
      <c r="I353" s="386">
        <v>21.31</v>
      </c>
    </row>
    <row r="354" spans="1:9" s="272" customFormat="1" ht="12.75">
      <c r="A354" s="382" t="s">
        <v>99</v>
      </c>
      <c r="B354" s="389" t="s">
        <v>208</v>
      </c>
      <c r="C354" s="383" t="s">
        <v>209</v>
      </c>
      <c r="D354" s="384" t="s">
        <v>103</v>
      </c>
      <c r="E354" s="385">
        <v>0.394</v>
      </c>
      <c r="F354" s="386">
        <f>ROUND(I354*$J$8,2)</f>
        <v>16.94</v>
      </c>
      <c r="G354" s="387">
        <f>ROUND(E354*F354,2)</f>
        <v>6.67</v>
      </c>
      <c r="I354" s="386">
        <v>17.09</v>
      </c>
    </row>
    <row r="355" spans="1:9" s="272" customFormat="1" ht="25.5">
      <c r="A355" s="382" t="s">
        <v>99</v>
      </c>
      <c r="B355" s="389" t="s">
        <v>597</v>
      </c>
      <c r="C355" s="383" t="s">
        <v>598</v>
      </c>
      <c r="D355" s="384" t="s">
        <v>180</v>
      </c>
      <c r="E355" s="385">
        <v>0.002</v>
      </c>
      <c r="F355" s="386">
        <f>ROUND(I355*$I$8,2)</f>
        <v>677.49</v>
      </c>
      <c r="G355" s="387">
        <f>ROUND(E355*F355,2)</f>
        <v>1.35</v>
      </c>
      <c r="I355" s="386">
        <v>679.05</v>
      </c>
    </row>
    <row r="356" spans="1:14" s="281" customFormat="1" ht="16.5" customHeight="1">
      <c r="A356" s="366" t="s">
        <v>485</v>
      </c>
      <c r="B356" s="365"/>
      <c r="C356" s="365"/>
      <c r="D356" s="365"/>
      <c r="E356" s="365"/>
      <c r="F356" s="364"/>
      <c r="G356" s="397">
        <f>SUM(G351:G352,G355)</f>
        <v>36.08</v>
      </c>
      <c r="H356" s="376"/>
      <c r="I356" s="376"/>
      <c r="J356" s="376"/>
      <c r="K356" s="376"/>
      <c r="L356" s="376"/>
      <c r="M356" s="376"/>
      <c r="N356" s="376"/>
    </row>
    <row r="357" spans="1:14" s="281" customFormat="1" ht="16.5" customHeight="1">
      <c r="A357" s="366" t="s">
        <v>488</v>
      </c>
      <c r="B357" s="365"/>
      <c r="C357" s="365"/>
      <c r="D357" s="365"/>
      <c r="E357" s="365"/>
      <c r="F357" s="364"/>
      <c r="G357" s="397">
        <f>SUM(G353:G354)</f>
        <v>15</v>
      </c>
      <c r="H357" s="376"/>
      <c r="I357" s="376"/>
      <c r="J357" s="376"/>
      <c r="K357" s="376"/>
      <c r="L357" s="376"/>
      <c r="M357" s="376"/>
      <c r="N357" s="376"/>
    </row>
    <row r="358" spans="1:14" s="281" customFormat="1" ht="16.5" customHeight="1">
      <c r="A358" s="369" t="s">
        <v>486</v>
      </c>
      <c r="B358" s="368"/>
      <c r="C358" s="368"/>
      <c r="D358" s="368"/>
      <c r="E358" s="368"/>
      <c r="F358" s="367"/>
      <c r="G358" s="398">
        <f>SUM(G356:G357)</f>
        <v>51.08</v>
      </c>
      <c r="H358" s="394"/>
      <c r="I358" s="394"/>
      <c r="J358" s="394"/>
      <c r="K358" s="394"/>
      <c r="L358" s="394"/>
      <c r="M358" s="394"/>
      <c r="N358" s="394"/>
    </row>
    <row r="359" spans="1:14" s="281" customFormat="1" ht="16.5" customHeight="1">
      <c r="A359" s="366" t="s">
        <v>489</v>
      </c>
      <c r="B359" s="365"/>
      <c r="C359" s="365"/>
      <c r="D359" s="365"/>
      <c r="E359" s="365"/>
      <c r="F359" s="364"/>
      <c r="G359" s="397">
        <f>ROUND(G358*$H$8,2)</f>
        <v>14.95</v>
      </c>
      <c r="H359" s="376"/>
      <c r="I359" s="376"/>
      <c r="J359" s="376"/>
      <c r="K359" s="376"/>
      <c r="L359" s="376"/>
      <c r="M359" s="376"/>
      <c r="N359" s="376"/>
    </row>
    <row r="360" spans="1:14" s="281" customFormat="1" ht="16.5" customHeight="1">
      <c r="A360" s="369" t="s">
        <v>487</v>
      </c>
      <c r="B360" s="368"/>
      <c r="C360" s="368"/>
      <c r="D360" s="368"/>
      <c r="E360" s="368"/>
      <c r="F360" s="367"/>
      <c r="G360" s="398">
        <f>SUM(G358:G359)</f>
        <v>66.03</v>
      </c>
      <c r="H360" s="394"/>
      <c r="I360" s="394"/>
      <c r="J360" s="394"/>
      <c r="K360" s="394"/>
      <c r="L360" s="394"/>
      <c r="M360" s="394"/>
      <c r="N360" s="394"/>
    </row>
    <row r="361" spans="2:13" s="281" customFormat="1" ht="13.5">
      <c r="B361" s="284"/>
      <c r="E361" s="362"/>
      <c r="F361" s="362"/>
      <c r="G361" s="362"/>
      <c r="I361" s="362"/>
      <c r="J361" s="283"/>
      <c r="K361" s="282"/>
      <c r="L361" s="282"/>
      <c r="M361" s="282"/>
    </row>
    <row r="362" spans="1:9" s="272" customFormat="1" ht="44.25" customHeight="1">
      <c r="A362" s="390" t="str">
        <f>ORÇAMENTO!B50</f>
        <v>SINAPI</v>
      </c>
      <c r="B362" s="388" t="str">
        <f>ORÇAMENTO!C50</f>
        <v>88495</v>
      </c>
      <c r="C362" s="252" t="str">
        <f>ORÇAMENTO!D50</f>
        <v>APLICAÇÃO E LIXAMENTO DE MASSA LÁTEX EM PAREDES, UMA DEMÃO. AF_06/2014</v>
      </c>
      <c r="D362" s="252"/>
      <c r="E362" s="252"/>
      <c r="F362" s="391" t="s">
        <v>295</v>
      </c>
      <c r="G362" s="396" t="str">
        <f>ORÇAMENTO!E50</f>
        <v>M2</v>
      </c>
      <c r="H362" s="310">
        <f>ORÇAMENTO!L50</f>
        <v>9.24</v>
      </c>
      <c r="I362" s="163" t="s">
        <v>295</v>
      </c>
    </row>
    <row r="363" spans="1:9" s="291" customFormat="1" ht="16.5" customHeight="1">
      <c r="A363" s="391" t="s">
        <v>296</v>
      </c>
      <c r="B363" s="392" t="s">
        <v>102</v>
      </c>
      <c r="C363" s="391" t="s">
        <v>36</v>
      </c>
      <c r="D363" s="399" t="s">
        <v>297</v>
      </c>
      <c r="E363" s="400" t="s">
        <v>26</v>
      </c>
      <c r="F363" s="393" t="s">
        <v>298</v>
      </c>
      <c r="G363" s="393" t="s">
        <v>10</v>
      </c>
      <c r="I363" s="393" t="s">
        <v>298</v>
      </c>
    </row>
    <row r="364" spans="1:9" s="272" customFormat="1" ht="25.5">
      <c r="A364" s="382" t="s">
        <v>197</v>
      </c>
      <c r="B364" s="389" t="s">
        <v>599</v>
      </c>
      <c r="C364" s="383" t="s">
        <v>600</v>
      </c>
      <c r="D364" s="384" t="s">
        <v>214</v>
      </c>
      <c r="E364" s="385">
        <v>0.06</v>
      </c>
      <c r="F364" s="386">
        <f>ROUND(I364*$I$8,2)</f>
        <v>0.81</v>
      </c>
      <c r="G364" s="387">
        <f>ROUND(E364*F364,2)</f>
        <v>0.05</v>
      </c>
      <c r="I364" s="386">
        <v>0.81</v>
      </c>
    </row>
    <row r="365" spans="1:9" s="272" customFormat="1" ht="25.5">
      <c r="A365" s="382" t="s">
        <v>197</v>
      </c>
      <c r="B365" s="389" t="s">
        <v>601</v>
      </c>
      <c r="C365" s="383" t="s">
        <v>602</v>
      </c>
      <c r="D365" s="384" t="s">
        <v>305</v>
      </c>
      <c r="E365" s="385">
        <v>1.04304</v>
      </c>
      <c r="F365" s="386">
        <f>ROUND(I365*$I$8,2)</f>
        <v>2.4</v>
      </c>
      <c r="G365" s="387">
        <f>ROUND(E365*F365,2)</f>
        <v>2.5</v>
      </c>
      <c r="I365" s="386">
        <v>2.41</v>
      </c>
    </row>
    <row r="366" spans="1:9" s="272" customFormat="1" ht="12.75">
      <c r="A366" s="382" t="s">
        <v>99</v>
      </c>
      <c r="B366" s="389" t="s">
        <v>310</v>
      </c>
      <c r="C366" s="383" t="s">
        <v>311</v>
      </c>
      <c r="D366" s="384" t="s">
        <v>103</v>
      </c>
      <c r="E366" s="385">
        <v>0.234</v>
      </c>
      <c r="F366" s="386">
        <f>ROUND(I366*$J$8,2)</f>
        <v>22.19</v>
      </c>
      <c r="G366" s="387">
        <f>ROUND(E366*F366,2)</f>
        <v>5.19</v>
      </c>
      <c r="I366" s="386">
        <v>22.38</v>
      </c>
    </row>
    <row r="367" spans="1:9" s="272" customFormat="1" ht="12.75">
      <c r="A367" s="382" t="s">
        <v>99</v>
      </c>
      <c r="B367" s="389" t="s">
        <v>208</v>
      </c>
      <c r="C367" s="383" t="s">
        <v>209</v>
      </c>
      <c r="D367" s="384" t="s">
        <v>103</v>
      </c>
      <c r="E367" s="385">
        <v>0.086</v>
      </c>
      <c r="F367" s="386">
        <f>ROUND(I367*$J$8,2)</f>
        <v>16.94</v>
      </c>
      <c r="G367" s="387">
        <f>ROUND(E367*F367,2)</f>
        <v>1.46</v>
      </c>
      <c r="I367" s="386">
        <v>17.09</v>
      </c>
    </row>
    <row r="368" spans="1:14" s="281" customFormat="1" ht="16.5" customHeight="1">
      <c r="A368" s="366" t="s">
        <v>485</v>
      </c>
      <c r="B368" s="365"/>
      <c r="C368" s="365"/>
      <c r="D368" s="365"/>
      <c r="E368" s="365"/>
      <c r="F368" s="364"/>
      <c r="G368" s="397">
        <f>SUM(G364:G365)</f>
        <v>2.55</v>
      </c>
      <c r="H368" s="376"/>
      <c r="I368" s="376"/>
      <c r="J368" s="376"/>
      <c r="K368" s="376"/>
      <c r="L368" s="376"/>
      <c r="M368" s="376"/>
      <c r="N368" s="376"/>
    </row>
    <row r="369" spans="1:14" s="281" customFormat="1" ht="16.5" customHeight="1">
      <c r="A369" s="366" t="s">
        <v>488</v>
      </c>
      <c r="B369" s="365"/>
      <c r="C369" s="365"/>
      <c r="D369" s="365"/>
      <c r="E369" s="365"/>
      <c r="F369" s="364"/>
      <c r="G369" s="397">
        <f>SUM(G366:G367)</f>
        <v>6.65</v>
      </c>
      <c r="H369" s="376"/>
      <c r="I369" s="376"/>
      <c r="J369" s="376"/>
      <c r="K369" s="376"/>
      <c r="L369" s="376"/>
      <c r="M369" s="376"/>
      <c r="N369" s="376"/>
    </row>
    <row r="370" spans="1:14" s="281" customFormat="1" ht="16.5" customHeight="1">
      <c r="A370" s="369" t="s">
        <v>486</v>
      </c>
      <c r="B370" s="368"/>
      <c r="C370" s="368"/>
      <c r="D370" s="368"/>
      <c r="E370" s="368"/>
      <c r="F370" s="367"/>
      <c r="G370" s="398">
        <f>SUM(G368:G369)</f>
        <v>9.2</v>
      </c>
      <c r="H370" s="394"/>
      <c r="I370" s="394"/>
      <c r="J370" s="394"/>
      <c r="K370" s="394"/>
      <c r="L370" s="394"/>
      <c r="M370" s="394"/>
      <c r="N370" s="394"/>
    </row>
    <row r="371" spans="1:14" s="281" customFormat="1" ht="16.5" customHeight="1">
      <c r="A371" s="366" t="s">
        <v>489</v>
      </c>
      <c r="B371" s="365"/>
      <c r="C371" s="365"/>
      <c r="D371" s="365"/>
      <c r="E371" s="365"/>
      <c r="F371" s="364"/>
      <c r="G371" s="397">
        <f>ROUND(G370*$H$8,2)</f>
        <v>2.69</v>
      </c>
      <c r="H371" s="376"/>
      <c r="I371" s="376"/>
      <c r="J371" s="376"/>
      <c r="K371" s="376"/>
      <c r="L371" s="376"/>
      <c r="M371" s="376"/>
      <c r="N371" s="376"/>
    </row>
    <row r="372" spans="1:14" s="281" customFormat="1" ht="16.5" customHeight="1">
      <c r="A372" s="369" t="s">
        <v>487</v>
      </c>
      <c r="B372" s="368"/>
      <c r="C372" s="368"/>
      <c r="D372" s="368"/>
      <c r="E372" s="368"/>
      <c r="F372" s="367"/>
      <c r="G372" s="398">
        <f>SUM(G370:G371)</f>
        <v>11.889999999999999</v>
      </c>
      <c r="H372" s="394"/>
      <c r="I372" s="394"/>
      <c r="J372" s="394"/>
      <c r="K372" s="394"/>
      <c r="L372" s="394"/>
      <c r="M372" s="394"/>
      <c r="N372" s="394"/>
    </row>
    <row r="373" spans="2:13" s="281" customFormat="1" ht="13.5">
      <c r="B373" s="284"/>
      <c r="E373" s="362"/>
      <c r="F373" s="362"/>
      <c r="G373" s="362"/>
      <c r="I373" s="362"/>
      <c r="J373" s="283"/>
      <c r="K373" s="282"/>
      <c r="L373" s="282"/>
      <c r="M373" s="282"/>
    </row>
    <row r="374" spans="1:9" s="272" customFormat="1" ht="44.25" customHeight="1">
      <c r="A374" s="390" t="str">
        <f>ORÇAMENTO!B51</f>
        <v>SINAPI</v>
      </c>
      <c r="B374" s="388" t="str">
        <f>ORÇAMENTO!C51</f>
        <v>88485</v>
      </c>
      <c r="C374" s="252" t="str">
        <f>ORÇAMENTO!D51</f>
        <v>APLICAÇÃO DE FUNDO SELADOR ACRÍLICO EM PAREDES, UMA DEMÃO. AF_06/2014</v>
      </c>
      <c r="D374" s="252"/>
      <c r="E374" s="252"/>
      <c r="F374" s="391" t="s">
        <v>295</v>
      </c>
      <c r="G374" s="396" t="str">
        <f>ORÇAMENTO!E51</f>
        <v>M2</v>
      </c>
      <c r="H374" s="310">
        <f>ORÇAMENTO!L51</f>
        <v>2.28</v>
      </c>
      <c r="I374" s="163" t="s">
        <v>295</v>
      </c>
    </row>
    <row r="375" spans="1:9" s="291" customFormat="1" ht="16.5" customHeight="1">
      <c r="A375" s="391" t="s">
        <v>296</v>
      </c>
      <c r="B375" s="392" t="s">
        <v>102</v>
      </c>
      <c r="C375" s="391" t="s">
        <v>36</v>
      </c>
      <c r="D375" s="399" t="s">
        <v>297</v>
      </c>
      <c r="E375" s="400" t="s">
        <v>26</v>
      </c>
      <c r="F375" s="393" t="s">
        <v>298</v>
      </c>
      <c r="G375" s="393" t="s">
        <v>10</v>
      </c>
      <c r="I375" s="393" t="s">
        <v>298</v>
      </c>
    </row>
    <row r="376" spans="1:9" s="272" customFormat="1" ht="25.5">
      <c r="A376" s="382" t="s">
        <v>197</v>
      </c>
      <c r="B376" s="389" t="s">
        <v>603</v>
      </c>
      <c r="C376" s="383" t="s">
        <v>604</v>
      </c>
      <c r="D376" s="384" t="s">
        <v>314</v>
      </c>
      <c r="E376" s="385">
        <v>0.16</v>
      </c>
      <c r="F376" s="386">
        <f>ROUND(I376*$I$8,2)</f>
        <v>7.34</v>
      </c>
      <c r="G376" s="387">
        <f>ROUND(E376*F376,2)</f>
        <v>1.17</v>
      </c>
      <c r="I376" s="386">
        <v>7.36</v>
      </c>
    </row>
    <row r="377" spans="1:9" s="272" customFormat="1" ht="12.75">
      <c r="A377" s="382" t="s">
        <v>99</v>
      </c>
      <c r="B377" s="389" t="s">
        <v>310</v>
      </c>
      <c r="C377" s="383" t="s">
        <v>311</v>
      </c>
      <c r="D377" s="384" t="s">
        <v>103</v>
      </c>
      <c r="E377" s="385">
        <v>0.039</v>
      </c>
      <c r="F377" s="386">
        <f>ROUND(I377*$J$8,2)</f>
        <v>22.19</v>
      </c>
      <c r="G377" s="387">
        <f>ROUND(E377*F377,2)</f>
        <v>0.87</v>
      </c>
      <c r="I377" s="386">
        <v>22.38</v>
      </c>
    </row>
    <row r="378" spans="1:9" s="272" customFormat="1" ht="12.75">
      <c r="A378" s="382" t="s">
        <v>99</v>
      </c>
      <c r="B378" s="389" t="s">
        <v>208</v>
      </c>
      <c r="C378" s="383" t="s">
        <v>209</v>
      </c>
      <c r="D378" s="384" t="s">
        <v>103</v>
      </c>
      <c r="E378" s="385">
        <v>0.014</v>
      </c>
      <c r="F378" s="386">
        <f>ROUND(I378*$J$8,2)</f>
        <v>16.94</v>
      </c>
      <c r="G378" s="387">
        <f>ROUND(E378*F378,2)</f>
        <v>0.24</v>
      </c>
      <c r="I378" s="386">
        <v>17.09</v>
      </c>
    </row>
    <row r="379" spans="1:14" s="281" customFormat="1" ht="16.5" customHeight="1">
      <c r="A379" s="366" t="s">
        <v>485</v>
      </c>
      <c r="B379" s="365"/>
      <c r="C379" s="365"/>
      <c r="D379" s="365"/>
      <c r="E379" s="365"/>
      <c r="F379" s="364"/>
      <c r="G379" s="397">
        <f>SUM(G376)</f>
        <v>1.17</v>
      </c>
      <c r="H379" s="376"/>
      <c r="I379" s="376"/>
      <c r="J379" s="376"/>
      <c r="K379" s="376"/>
      <c r="L379" s="376"/>
      <c r="M379" s="376"/>
      <c r="N379" s="376"/>
    </row>
    <row r="380" spans="1:14" s="281" customFormat="1" ht="16.5" customHeight="1">
      <c r="A380" s="366" t="s">
        <v>488</v>
      </c>
      <c r="B380" s="365"/>
      <c r="C380" s="365"/>
      <c r="D380" s="365"/>
      <c r="E380" s="365"/>
      <c r="F380" s="364"/>
      <c r="G380" s="397">
        <f>SUM(G377:G378)</f>
        <v>1.1099999999999999</v>
      </c>
      <c r="H380" s="376"/>
      <c r="I380" s="376"/>
      <c r="J380" s="376"/>
      <c r="K380" s="376"/>
      <c r="L380" s="376"/>
      <c r="M380" s="376"/>
      <c r="N380" s="376"/>
    </row>
    <row r="381" spans="1:14" s="281" customFormat="1" ht="16.5" customHeight="1">
      <c r="A381" s="369" t="s">
        <v>486</v>
      </c>
      <c r="B381" s="368"/>
      <c r="C381" s="368"/>
      <c r="D381" s="368"/>
      <c r="E381" s="368"/>
      <c r="F381" s="367"/>
      <c r="G381" s="398">
        <f>SUM(G379:G380)</f>
        <v>2.28</v>
      </c>
      <c r="H381" s="394"/>
      <c r="I381" s="394"/>
      <c r="J381" s="394"/>
      <c r="K381" s="394"/>
      <c r="L381" s="394"/>
      <c r="M381" s="394"/>
      <c r="N381" s="394"/>
    </row>
    <row r="382" spans="1:14" s="281" customFormat="1" ht="16.5" customHeight="1">
      <c r="A382" s="366" t="s">
        <v>489</v>
      </c>
      <c r="B382" s="365"/>
      <c r="C382" s="365"/>
      <c r="D382" s="365"/>
      <c r="E382" s="365"/>
      <c r="F382" s="364"/>
      <c r="G382" s="397">
        <f>ROUND(G381*$H$8,2)</f>
        <v>0.67</v>
      </c>
      <c r="H382" s="376"/>
      <c r="I382" s="376"/>
      <c r="J382" s="376"/>
      <c r="K382" s="376"/>
      <c r="L382" s="376"/>
      <c r="M382" s="376"/>
      <c r="N382" s="376"/>
    </row>
    <row r="383" spans="1:14" s="281" customFormat="1" ht="16.5" customHeight="1">
      <c r="A383" s="369" t="s">
        <v>487</v>
      </c>
      <c r="B383" s="368"/>
      <c r="C383" s="368"/>
      <c r="D383" s="368"/>
      <c r="E383" s="368"/>
      <c r="F383" s="367"/>
      <c r="G383" s="398">
        <f>SUM(G381:G382)</f>
        <v>2.9499999999999997</v>
      </c>
      <c r="H383" s="394"/>
      <c r="I383" s="394"/>
      <c r="J383" s="394"/>
      <c r="K383" s="394"/>
      <c r="L383" s="394"/>
      <c r="M383" s="394"/>
      <c r="N383" s="394"/>
    </row>
    <row r="384" spans="2:13" s="281" customFormat="1" ht="13.5">
      <c r="B384" s="284"/>
      <c r="E384" s="362"/>
      <c r="F384" s="362"/>
      <c r="G384" s="362"/>
      <c r="I384" s="362"/>
      <c r="J384" s="283"/>
      <c r="K384" s="282"/>
      <c r="L384" s="282"/>
      <c r="M384" s="282"/>
    </row>
    <row r="385" spans="1:9" s="272" customFormat="1" ht="44.25" customHeight="1">
      <c r="A385" s="390" t="str">
        <f>ORÇAMENTO!B52</f>
        <v>SINAPI</v>
      </c>
      <c r="B385" s="388" t="str">
        <f>ORÇAMENTO!C52</f>
        <v>88489</v>
      </c>
      <c r="C385" s="252" t="str">
        <f>ORÇAMENTO!D52</f>
        <v>APLICAÇÃO MANUAL DE PINTURA COM TINTA LÁTEX ACRÍLICA EM PAREDES, DUAS DEMÃOS. AF_06/2014</v>
      </c>
      <c r="D385" s="252"/>
      <c r="E385" s="252"/>
      <c r="F385" s="391" t="s">
        <v>295</v>
      </c>
      <c r="G385" s="396" t="str">
        <f>ORÇAMENTO!E52</f>
        <v>M2</v>
      </c>
      <c r="H385" s="310">
        <f>ORÇAMENTO!L52</f>
        <v>13.57</v>
      </c>
      <c r="I385" s="163" t="s">
        <v>295</v>
      </c>
    </row>
    <row r="386" spans="1:9" s="291" customFormat="1" ht="16.5" customHeight="1">
      <c r="A386" s="391" t="s">
        <v>296</v>
      </c>
      <c r="B386" s="392" t="s">
        <v>102</v>
      </c>
      <c r="C386" s="391" t="s">
        <v>36</v>
      </c>
      <c r="D386" s="399" t="s">
        <v>297</v>
      </c>
      <c r="E386" s="400" t="s">
        <v>26</v>
      </c>
      <c r="F386" s="393" t="s">
        <v>298</v>
      </c>
      <c r="G386" s="393" t="s">
        <v>10</v>
      </c>
      <c r="I386" s="393" t="s">
        <v>298</v>
      </c>
    </row>
    <row r="387" spans="1:9" s="272" customFormat="1" ht="12.75">
      <c r="A387" s="382" t="s">
        <v>197</v>
      </c>
      <c r="B387" s="389" t="s">
        <v>605</v>
      </c>
      <c r="C387" s="383" t="s">
        <v>606</v>
      </c>
      <c r="D387" s="384" t="s">
        <v>314</v>
      </c>
      <c r="E387" s="385">
        <v>0.33</v>
      </c>
      <c r="F387" s="386">
        <f>ROUND(I387*$I$8,2)</f>
        <v>24.86</v>
      </c>
      <c r="G387" s="387">
        <f>ROUND(E387*F387,2)</f>
        <v>8.2</v>
      </c>
      <c r="I387" s="386">
        <v>24.92</v>
      </c>
    </row>
    <row r="388" spans="1:9" s="272" customFormat="1" ht="12.75">
      <c r="A388" s="382" t="s">
        <v>99</v>
      </c>
      <c r="B388" s="389" t="s">
        <v>310</v>
      </c>
      <c r="C388" s="383" t="s">
        <v>311</v>
      </c>
      <c r="D388" s="384" t="s">
        <v>103</v>
      </c>
      <c r="E388" s="385">
        <v>0.187</v>
      </c>
      <c r="F388" s="386">
        <f>ROUND(I388*$J$8,2)</f>
        <v>22.19</v>
      </c>
      <c r="G388" s="387">
        <f>ROUND(E388*F388,2)</f>
        <v>4.15</v>
      </c>
      <c r="I388" s="386">
        <v>22.38</v>
      </c>
    </row>
    <row r="389" spans="1:9" s="272" customFormat="1" ht="12.75">
      <c r="A389" s="382" t="s">
        <v>99</v>
      </c>
      <c r="B389" s="389" t="s">
        <v>208</v>
      </c>
      <c r="C389" s="383" t="s">
        <v>209</v>
      </c>
      <c r="D389" s="384" t="s">
        <v>103</v>
      </c>
      <c r="E389" s="385">
        <v>0.069</v>
      </c>
      <c r="F389" s="386">
        <f>ROUND(I389*$J$8,2)</f>
        <v>16.94</v>
      </c>
      <c r="G389" s="387">
        <f>ROUND(E389*F389,2)</f>
        <v>1.17</v>
      </c>
      <c r="I389" s="386">
        <v>17.09</v>
      </c>
    </row>
    <row r="390" spans="1:14" s="281" customFormat="1" ht="16.5" customHeight="1">
      <c r="A390" s="366" t="s">
        <v>485</v>
      </c>
      <c r="B390" s="365"/>
      <c r="C390" s="365"/>
      <c r="D390" s="365"/>
      <c r="E390" s="365"/>
      <c r="F390" s="364"/>
      <c r="G390" s="397">
        <f>SUM(G387)</f>
        <v>8.2</v>
      </c>
      <c r="H390" s="376"/>
      <c r="I390" s="376"/>
      <c r="J390" s="376"/>
      <c r="K390" s="376"/>
      <c r="L390" s="376"/>
      <c r="M390" s="376"/>
      <c r="N390" s="376"/>
    </row>
    <row r="391" spans="1:14" s="281" customFormat="1" ht="16.5" customHeight="1">
      <c r="A391" s="366" t="s">
        <v>488</v>
      </c>
      <c r="B391" s="365"/>
      <c r="C391" s="365"/>
      <c r="D391" s="365"/>
      <c r="E391" s="365"/>
      <c r="F391" s="364"/>
      <c r="G391" s="397">
        <f>SUM(G388:G389)</f>
        <v>5.32</v>
      </c>
      <c r="H391" s="376"/>
      <c r="I391" s="376"/>
      <c r="J391" s="376"/>
      <c r="K391" s="376"/>
      <c r="L391" s="376"/>
      <c r="M391" s="376"/>
      <c r="N391" s="376"/>
    </row>
    <row r="392" spans="1:14" s="281" customFormat="1" ht="16.5" customHeight="1">
      <c r="A392" s="369" t="s">
        <v>486</v>
      </c>
      <c r="B392" s="368"/>
      <c r="C392" s="368"/>
      <c r="D392" s="368"/>
      <c r="E392" s="368"/>
      <c r="F392" s="367"/>
      <c r="G392" s="398">
        <f>SUM(G390:G391)</f>
        <v>13.52</v>
      </c>
      <c r="H392" s="394"/>
      <c r="I392" s="394"/>
      <c r="J392" s="394"/>
      <c r="K392" s="394"/>
      <c r="L392" s="394"/>
      <c r="M392" s="394"/>
      <c r="N392" s="394"/>
    </row>
    <row r="393" spans="1:14" s="281" customFormat="1" ht="16.5" customHeight="1">
      <c r="A393" s="366" t="s">
        <v>489</v>
      </c>
      <c r="B393" s="365"/>
      <c r="C393" s="365"/>
      <c r="D393" s="365"/>
      <c r="E393" s="365"/>
      <c r="F393" s="364"/>
      <c r="G393" s="397">
        <f>ROUND(G392*$H$8,2)</f>
        <v>3.96</v>
      </c>
      <c r="H393" s="376"/>
      <c r="I393" s="376"/>
      <c r="J393" s="376"/>
      <c r="K393" s="376"/>
      <c r="L393" s="376"/>
      <c r="M393" s="376"/>
      <c r="N393" s="376"/>
    </row>
    <row r="394" spans="1:14" s="281" customFormat="1" ht="16.5" customHeight="1">
      <c r="A394" s="369" t="s">
        <v>487</v>
      </c>
      <c r="B394" s="368"/>
      <c r="C394" s="368"/>
      <c r="D394" s="368"/>
      <c r="E394" s="368"/>
      <c r="F394" s="367"/>
      <c r="G394" s="398">
        <f>SUM(G392:G393)</f>
        <v>17.48</v>
      </c>
      <c r="H394" s="394"/>
      <c r="I394" s="394"/>
      <c r="J394" s="394"/>
      <c r="K394" s="394"/>
      <c r="L394" s="394"/>
      <c r="M394" s="394"/>
      <c r="N394" s="394"/>
    </row>
    <row r="395" spans="2:13" s="281" customFormat="1" ht="13.5">
      <c r="B395" s="284"/>
      <c r="E395" s="362"/>
      <c r="F395" s="362"/>
      <c r="G395" s="362"/>
      <c r="I395" s="362"/>
      <c r="J395" s="283"/>
      <c r="K395" s="282"/>
      <c r="L395" s="282"/>
      <c r="M395" s="282"/>
    </row>
    <row r="396" spans="1:9" s="272" customFormat="1" ht="44.25" customHeight="1">
      <c r="A396" s="390" t="str">
        <f>ORÇAMENTO!B53</f>
        <v>CPU</v>
      </c>
      <c r="B396" s="388" t="str">
        <f>ORÇAMENTO!C53</f>
        <v>13</v>
      </c>
      <c r="C396" s="252" t="str">
        <f>ORÇAMENTO!D53</f>
        <v>TEXTURIAÇÃO 3D SEMELHANTE A MADEIRA/GRANITO/MÁRMORE/ROCHA BRUTA COM TINTA ACRÍLICA, FUNDO SELADOR E MASSA ACRÍLICA EM PAREDES, DUAS DEMÃOS.</v>
      </c>
      <c r="D396" s="252"/>
      <c r="E396" s="252"/>
      <c r="F396" s="391" t="s">
        <v>295</v>
      </c>
      <c r="G396" s="396" t="str">
        <f>ORÇAMENTO!E53</f>
        <v>M2</v>
      </c>
      <c r="H396" s="310">
        <f>ORÇAMENTO!L53</f>
        <v>73.12</v>
      </c>
      <c r="I396" s="163" t="s">
        <v>295</v>
      </c>
    </row>
    <row r="397" spans="1:9" s="291" customFormat="1" ht="16.5" customHeight="1">
      <c r="A397" s="391" t="s">
        <v>296</v>
      </c>
      <c r="B397" s="392" t="s">
        <v>102</v>
      </c>
      <c r="C397" s="391" t="s">
        <v>36</v>
      </c>
      <c r="D397" s="399" t="s">
        <v>297</v>
      </c>
      <c r="E397" s="400" t="s">
        <v>26</v>
      </c>
      <c r="F397" s="393" t="s">
        <v>298</v>
      </c>
      <c r="G397" s="393" t="s">
        <v>10</v>
      </c>
      <c r="I397" s="393" t="s">
        <v>298</v>
      </c>
    </row>
    <row r="398" spans="1:9" ht="38.25">
      <c r="A398" s="164" t="s">
        <v>99</v>
      </c>
      <c r="B398" s="165" t="s">
        <v>233</v>
      </c>
      <c r="C398" s="166" t="s">
        <v>234</v>
      </c>
      <c r="D398" s="167" t="s">
        <v>177</v>
      </c>
      <c r="E398" s="168">
        <v>1.6</v>
      </c>
      <c r="F398" s="386">
        <f>ROUND(I398*$I$8,2)</f>
        <v>15.63</v>
      </c>
      <c r="G398" s="169">
        <f aca="true" t="shared" si="13" ref="G398:G403">ROUND(E398*F398,2)</f>
        <v>25.01</v>
      </c>
      <c r="I398" s="386">
        <v>15.67</v>
      </c>
    </row>
    <row r="399" spans="1:9" ht="25.5">
      <c r="A399" s="164" t="s">
        <v>99</v>
      </c>
      <c r="B399" s="165" t="s">
        <v>308</v>
      </c>
      <c r="C399" s="166" t="s">
        <v>309</v>
      </c>
      <c r="D399" s="167" t="s">
        <v>177</v>
      </c>
      <c r="E399" s="168">
        <v>1</v>
      </c>
      <c r="F399" s="386">
        <f>ROUND(I399*$I$8,2)</f>
        <v>2.6</v>
      </c>
      <c r="G399" s="169">
        <f t="shared" si="13"/>
        <v>2.6</v>
      </c>
      <c r="I399" s="386">
        <v>2.61</v>
      </c>
    </row>
    <row r="400" spans="1:9" s="363" customFormat="1" ht="25.5">
      <c r="A400" s="382" t="s">
        <v>99</v>
      </c>
      <c r="B400" s="389" t="s">
        <v>237</v>
      </c>
      <c r="C400" s="383" t="s">
        <v>238</v>
      </c>
      <c r="D400" s="384" t="s">
        <v>177</v>
      </c>
      <c r="E400" s="385">
        <v>1.6</v>
      </c>
      <c r="F400" s="386">
        <f>$G$392</f>
        <v>13.52</v>
      </c>
      <c r="G400" s="387">
        <f t="shared" si="13"/>
        <v>21.63</v>
      </c>
      <c r="I400" s="386">
        <v>13.59</v>
      </c>
    </row>
    <row r="401" spans="1:9" ht="12.75">
      <c r="A401" s="164" t="s">
        <v>99</v>
      </c>
      <c r="B401" s="165" t="s">
        <v>310</v>
      </c>
      <c r="C401" s="166" t="s">
        <v>311</v>
      </c>
      <c r="D401" s="167" t="s">
        <v>103</v>
      </c>
      <c r="E401" s="168">
        <v>0.6</v>
      </c>
      <c r="F401" s="386">
        <f>ROUND(I401*$J$8,2)</f>
        <v>22.19</v>
      </c>
      <c r="G401" s="169">
        <f t="shared" si="13"/>
        <v>13.31</v>
      </c>
      <c r="I401" s="386">
        <v>22.38</v>
      </c>
    </row>
    <row r="402" spans="1:9" ht="12.75">
      <c r="A402" s="164" t="s">
        <v>197</v>
      </c>
      <c r="B402" s="165" t="s">
        <v>312</v>
      </c>
      <c r="C402" s="166" t="s">
        <v>313</v>
      </c>
      <c r="D402" s="167" t="s">
        <v>314</v>
      </c>
      <c r="E402" s="168">
        <v>0.1</v>
      </c>
      <c r="F402" s="386">
        <f>ROUND(I402*$I$8,2)</f>
        <v>27.55</v>
      </c>
      <c r="G402" s="169">
        <f t="shared" si="13"/>
        <v>2.76</v>
      </c>
      <c r="I402" s="386">
        <v>27.61</v>
      </c>
    </row>
    <row r="403" spans="1:9" ht="38.25">
      <c r="A403" s="164" t="s">
        <v>99</v>
      </c>
      <c r="B403" s="165" t="s">
        <v>315</v>
      </c>
      <c r="C403" s="166" t="s">
        <v>316</v>
      </c>
      <c r="D403" s="167" t="s">
        <v>177</v>
      </c>
      <c r="E403" s="168">
        <v>1</v>
      </c>
      <c r="F403" s="386">
        <f>ROUND(I403*$I$8,2)</f>
        <v>7.52</v>
      </c>
      <c r="G403" s="169">
        <f t="shared" si="13"/>
        <v>7.52</v>
      </c>
      <c r="I403" s="386">
        <v>7.54</v>
      </c>
    </row>
    <row r="404" spans="1:14" s="281" customFormat="1" ht="16.5" customHeight="1">
      <c r="A404" s="366" t="s">
        <v>485</v>
      </c>
      <c r="B404" s="365"/>
      <c r="C404" s="365"/>
      <c r="D404" s="365"/>
      <c r="E404" s="365"/>
      <c r="F404" s="364"/>
      <c r="G404" s="397">
        <f>SUM(G402,G398)</f>
        <v>27.770000000000003</v>
      </c>
      <c r="H404" s="376"/>
      <c r="I404" s="376"/>
      <c r="K404" s="376"/>
      <c r="L404" s="376"/>
      <c r="M404" s="376"/>
      <c r="N404" s="376"/>
    </row>
    <row r="405" spans="1:14" s="281" customFormat="1" ht="16.5" customHeight="1">
      <c r="A405" s="366" t="s">
        <v>488</v>
      </c>
      <c r="B405" s="365"/>
      <c r="C405" s="365"/>
      <c r="D405" s="365"/>
      <c r="E405" s="365"/>
      <c r="F405" s="364"/>
      <c r="G405" s="397">
        <f>SUM(G399:G401,G403)</f>
        <v>45.06</v>
      </c>
      <c r="H405" s="376"/>
      <c r="I405" s="376"/>
      <c r="J405" s="376"/>
      <c r="K405" s="376"/>
      <c r="L405" s="376"/>
      <c r="M405" s="376"/>
      <c r="N405" s="376"/>
    </row>
    <row r="406" spans="1:14" s="281" customFormat="1" ht="16.5" customHeight="1">
      <c r="A406" s="369" t="s">
        <v>486</v>
      </c>
      <c r="B406" s="368"/>
      <c r="C406" s="368"/>
      <c r="D406" s="368"/>
      <c r="E406" s="368"/>
      <c r="F406" s="367"/>
      <c r="G406" s="398">
        <f>SUM(G404:G405)</f>
        <v>72.83000000000001</v>
      </c>
      <c r="H406" s="394"/>
      <c r="I406" s="394"/>
      <c r="J406" s="394"/>
      <c r="K406" s="394"/>
      <c r="L406" s="394"/>
      <c r="M406" s="394"/>
      <c r="N406" s="394"/>
    </row>
    <row r="407" spans="1:14" s="281" customFormat="1" ht="16.5" customHeight="1">
      <c r="A407" s="366" t="s">
        <v>489</v>
      </c>
      <c r="B407" s="365"/>
      <c r="C407" s="365"/>
      <c r="D407" s="365"/>
      <c r="E407" s="365"/>
      <c r="F407" s="364"/>
      <c r="G407" s="397">
        <f>ROUND(G406*$H$8,2)</f>
        <v>21.32</v>
      </c>
      <c r="H407" s="376"/>
      <c r="I407" s="376"/>
      <c r="J407" s="376"/>
      <c r="K407" s="376"/>
      <c r="L407" s="376"/>
      <c r="M407" s="376"/>
      <c r="N407" s="376"/>
    </row>
    <row r="408" spans="1:14" s="281" customFormat="1" ht="16.5" customHeight="1">
      <c r="A408" s="369" t="s">
        <v>487</v>
      </c>
      <c r="B408" s="368"/>
      <c r="C408" s="368"/>
      <c r="D408" s="368"/>
      <c r="E408" s="368"/>
      <c r="F408" s="367"/>
      <c r="G408" s="398">
        <f>SUM(G406:G407)</f>
        <v>94.15</v>
      </c>
      <c r="H408" s="394"/>
      <c r="I408" s="394"/>
      <c r="J408" s="394"/>
      <c r="K408" s="394"/>
      <c r="L408" s="394"/>
      <c r="M408" s="394"/>
      <c r="N408" s="394"/>
    </row>
    <row r="409" spans="2:13" s="124" customFormat="1" ht="15" customHeight="1">
      <c r="B409" s="142"/>
      <c r="E409" s="204"/>
      <c r="F409" s="204"/>
      <c r="G409" s="204"/>
      <c r="I409" s="281"/>
      <c r="J409" s="133"/>
      <c r="K409" s="132"/>
      <c r="L409" s="132"/>
      <c r="M409" s="132"/>
    </row>
    <row r="410" spans="1:9" s="272" customFormat="1" ht="44.25" customHeight="1">
      <c r="A410" s="390" t="str">
        <f>ORÇAMENTO!B54</f>
        <v>SINAPI</v>
      </c>
      <c r="B410" s="388" t="str">
        <f>ORÇAMENTO!C54</f>
        <v>100719</v>
      </c>
      <c r="C410" s="252" t="str">
        <f>ORÇAMENTO!D54</f>
        <v>PINTURA COM TINTA ALQUÍDICA DE FUNDO (TIPO ZARCÃO) PULVERIZADA SOBRE PERFIL METÁLICO EXECUTADO EM FÁBRICA (POR DEMÃO). AF_01/2020_P</v>
      </c>
      <c r="D410" s="252"/>
      <c r="E410" s="252"/>
      <c r="F410" s="391" t="s">
        <v>295</v>
      </c>
      <c r="G410" s="396" t="str">
        <f>ORÇAMENTO!E54</f>
        <v>M2</v>
      </c>
      <c r="H410" s="310">
        <f>ORÇAMENTO!L54</f>
        <v>8.08</v>
      </c>
      <c r="I410" s="163" t="s">
        <v>295</v>
      </c>
    </row>
    <row r="411" spans="1:9" s="291" customFormat="1" ht="16.5" customHeight="1">
      <c r="A411" s="391" t="s">
        <v>296</v>
      </c>
      <c r="B411" s="392" t="s">
        <v>102</v>
      </c>
      <c r="C411" s="391" t="s">
        <v>36</v>
      </c>
      <c r="D411" s="399" t="s">
        <v>297</v>
      </c>
      <c r="E411" s="400" t="s">
        <v>26</v>
      </c>
      <c r="F411" s="393" t="s">
        <v>298</v>
      </c>
      <c r="G411" s="393" t="s">
        <v>10</v>
      </c>
      <c r="I411" s="393" t="s">
        <v>298</v>
      </c>
    </row>
    <row r="412" spans="1:9" s="272" customFormat="1" ht="12.75">
      <c r="A412" s="382" t="s">
        <v>197</v>
      </c>
      <c r="B412" s="389" t="s">
        <v>607</v>
      </c>
      <c r="C412" s="383" t="s">
        <v>608</v>
      </c>
      <c r="D412" s="384" t="s">
        <v>314</v>
      </c>
      <c r="E412" s="385">
        <v>0.0575</v>
      </c>
      <c r="F412" s="386">
        <f>ROUND(I412*$I$8,2)</f>
        <v>16.56</v>
      </c>
      <c r="G412" s="387">
        <f>ROUND(E412*F412,2)</f>
        <v>0.95</v>
      </c>
      <c r="I412" s="386">
        <v>16.6</v>
      </c>
    </row>
    <row r="413" spans="1:9" s="272" customFormat="1" ht="25.5">
      <c r="A413" s="382" t="s">
        <v>197</v>
      </c>
      <c r="B413" s="389" t="s">
        <v>609</v>
      </c>
      <c r="C413" s="383" t="s">
        <v>610</v>
      </c>
      <c r="D413" s="384" t="s">
        <v>314</v>
      </c>
      <c r="E413" s="385">
        <v>0.1908</v>
      </c>
      <c r="F413" s="386">
        <f>ROUND(I413*$I$8,2)</f>
        <v>29.86</v>
      </c>
      <c r="G413" s="387">
        <f>ROUND(E413*F413,2)</f>
        <v>5.7</v>
      </c>
      <c r="I413" s="386">
        <v>29.93</v>
      </c>
    </row>
    <row r="414" spans="1:9" s="272" customFormat="1" ht="12.75">
      <c r="A414" s="382" t="s">
        <v>99</v>
      </c>
      <c r="B414" s="389" t="s">
        <v>310</v>
      </c>
      <c r="C414" s="383" t="s">
        <v>311</v>
      </c>
      <c r="D414" s="384" t="s">
        <v>103</v>
      </c>
      <c r="E414" s="385">
        <v>0.0635</v>
      </c>
      <c r="F414" s="386">
        <f>ROUND(I414*$J$8,2)</f>
        <v>22.19</v>
      </c>
      <c r="G414" s="387">
        <f>ROUND(E414*F414,2)</f>
        <v>1.41</v>
      </c>
      <c r="I414" s="386">
        <v>22.38</v>
      </c>
    </row>
    <row r="415" spans="1:14" s="281" customFormat="1" ht="16.5" customHeight="1">
      <c r="A415" s="366" t="s">
        <v>485</v>
      </c>
      <c r="B415" s="365"/>
      <c r="C415" s="365"/>
      <c r="D415" s="365"/>
      <c r="E415" s="365"/>
      <c r="F415" s="364"/>
      <c r="G415" s="397">
        <f>SUM(G412:G413)</f>
        <v>6.65</v>
      </c>
      <c r="H415" s="376"/>
      <c r="I415" s="376"/>
      <c r="J415" s="376"/>
      <c r="K415" s="376"/>
      <c r="L415" s="376"/>
      <c r="M415" s="376"/>
      <c r="N415" s="376"/>
    </row>
    <row r="416" spans="1:14" s="281" customFormat="1" ht="16.5" customHeight="1">
      <c r="A416" s="366" t="s">
        <v>488</v>
      </c>
      <c r="B416" s="365"/>
      <c r="C416" s="365"/>
      <c r="D416" s="365"/>
      <c r="E416" s="365"/>
      <c r="F416" s="364"/>
      <c r="G416" s="397">
        <f>SUM(G414)</f>
        <v>1.41</v>
      </c>
      <c r="H416" s="376"/>
      <c r="I416" s="376"/>
      <c r="J416" s="376"/>
      <c r="K416" s="376"/>
      <c r="L416" s="376"/>
      <c r="M416" s="376"/>
      <c r="N416" s="376"/>
    </row>
    <row r="417" spans="1:14" s="281" customFormat="1" ht="16.5" customHeight="1">
      <c r="A417" s="369" t="s">
        <v>486</v>
      </c>
      <c r="B417" s="368"/>
      <c r="C417" s="368"/>
      <c r="D417" s="368"/>
      <c r="E417" s="368"/>
      <c r="F417" s="367"/>
      <c r="G417" s="398">
        <f>SUM(G415:G416)</f>
        <v>8.06</v>
      </c>
      <c r="H417" s="394"/>
      <c r="I417" s="394"/>
      <c r="J417" s="394"/>
      <c r="K417" s="394"/>
      <c r="L417" s="394"/>
      <c r="M417" s="394"/>
      <c r="N417" s="394"/>
    </row>
    <row r="418" spans="1:14" s="281" customFormat="1" ht="16.5" customHeight="1">
      <c r="A418" s="366" t="s">
        <v>489</v>
      </c>
      <c r="B418" s="365"/>
      <c r="C418" s="365"/>
      <c r="D418" s="365"/>
      <c r="E418" s="365"/>
      <c r="F418" s="364"/>
      <c r="G418" s="397">
        <f>ROUND(G417*$H$8,2)</f>
        <v>2.36</v>
      </c>
      <c r="H418" s="376"/>
      <c r="I418" s="376"/>
      <c r="J418" s="376"/>
      <c r="K418" s="376"/>
      <c r="L418" s="376"/>
      <c r="M418" s="376"/>
      <c r="N418" s="376"/>
    </row>
    <row r="419" spans="1:14" s="281" customFormat="1" ht="16.5" customHeight="1">
      <c r="A419" s="369" t="s">
        <v>487</v>
      </c>
      <c r="B419" s="368"/>
      <c r="C419" s="368"/>
      <c r="D419" s="368"/>
      <c r="E419" s="368"/>
      <c r="F419" s="367"/>
      <c r="G419" s="398">
        <f>SUM(G417:G418)</f>
        <v>10.42</v>
      </c>
      <c r="H419" s="394"/>
      <c r="I419" s="394"/>
      <c r="J419" s="394"/>
      <c r="K419" s="394"/>
      <c r="L419" s="394"/>
      <c r="M419" s="394"/>
      <c r="N419" s="394"/>
    </row>
    <row r="420" spans="2:13" s="281" customFormat="1" ht="13.5">
      <c r="B420" s="284"/>
      <c r="E420" s="362"/>
      <c r="F420" s="362"/>
      <c r="G420" s="362"/>
      <c r="I420" s="362"/>
      <c r="J420" s="283"/>
      <c r="K420" s="282"/>
      <c r="L420" s="282"/>
      <c r="M420" s="282"/>
    </row>
    <row r="421" spans="1:9" s="272" customFormat="1" ht="44.25" customHeight="1">
      <c r="A421" s="390" t="str">
        <f>ORÇAMENTO!B55</f>
        <v>SINAPI</v>
      </c>
      <c r="B421" s="388" t="str">
        <f>ORÇAMENTO!C55</f>
        <v>100739</v>
      </c>
      <c r="C421" s="252" t="str">
        <f>ORÇAMENTO!D55</f>
        <v>PINTURA COM TINTA ALQUÍDICA DE ACABAMENTO (ESMALTE SINTÉTICO ACETINADO) PULVERIZADA SOBRE PERFIL METÁLICO EXECUTADO EM FÁBRICA (POR DEMÃO). AF_01/2020_P</v>
      </c>
      <c r="D421" s="252"/>
      <c r="E421" s="252"/>
      <c r="F421" s="391" t="s">
        <v>295</v>
      </c>
      <c r="G421" s="396" t="str">
        <f>ORÇAMENTO!E55</f>
        <v>M2</v>
      </c>
      <c r="H421" s="310">
        <f>ORÇAMENTO!L55</f>
        <v>7.95</v>
      </c>
      <c r="I421" s="163" t="s">
        <v>295</v>
      </c>
    </row>
    <row r="422" spans="1:9" s="291" customFormat="1" ht="16.5" customHeight="1">
      <c r="A422" s="391" t="s">
        <v>296</v>
      </c>
      <c r="B422" s="392" t="s">
        <v>102</v>
      </c>
      <c r="C422" s="391" t="s">
        <v>36</v>
      </c>
      <c r="D422" s="399" t="s">
        <v>297</v>
      </c>
      <c r="E422" s="400" t="s">
        <v>26</v>
      </c>
      <c r="F422" s="393" t="s">
        <v>298</v>
      </c>
      <c r="G422" s="393" t="s">
        <v>10</v>
      </c>
      <c r="I422" s="393" t="s">
        <v>298</v>
      </c>
    </row>
    <row r="423" spans="1:9" s="272" customFormat="1" ht="12.75">
      <c r="A423" s="382" t="s">
        <v>197</v>
      </c>
      <c r="B423" s="389" t="s">
        <v>607</v>
      </c>
      <c r="C423" s="383" t="s">
        <v>608</v>
      </c>
      <c r="D423" s="384" t="s">
        <v>314</v>
      </c>
      <c r="E423" s="385">
        <v>0.0584</v>
      </c>
      <c r="F423" s="386">
        <f>ROUND(I423*$I$8,2)</f>
        <v>16.56</v>
      </c>
      <c r="G423" s="387">
        <f>ROUND(E423*F423,2)</f>
        <v>0.97</v>
      </c>
      <c r="I423" s="386">
        <v>16.6</v>
      </c>
    </row>
    <row r="424" spans="1:9" s="272" customFormat="1" ht="12.75">
      <c r="A424" s="382" t="s">
        <v>197</v>
      </c>
      <c r="B424" s="389" t="s">
        <v>611</v>
      </c>
      <c r="C424" s="383" t="s">
        <v>612</v>
      </c>
      <c r="D424" s="384" t="s">
        <v>314</v>
      </c>
      <c r="E424" s="385">
        <v>0.1945</v>
      </c>
      <c r="F424" s="386">
        <f>ROUND(I424*$I$8,2)</f>
        <v>28.59</v>
      </c>
      <c r="G424" s="387">
        <f>ROUND(E424*F424,2)</f>
        <v>5.56</v>
      </c>
      <c r="I424" s="386">
        <v>28.66</v>
      </c>
    </row>
    <row r="425" spans="1:9" s="272" customFormat="1" ht="12.75">
      <c r="A425" s="382" t="s">
        <v>99</v>
      </c>
      <c r="B425" s="389" t="s">
        <v>310</v>
      </c>
      <c r="C425" s="383" t="s">
        <v>311</v>
      </c>
      <c r="D425" s="384" t="s">
        <v>103</v>
      </c>
      <c r="E425" s="385">
        <v>0.0635</v>
      </c>
      <c r="F425" s="386">
        <f>ROUND(I425*$J$8,2)</f>
        <v>22.19</v>
      </c>
      <c r="G425" s="387">
        <f>ROUND(E425*F425,2)</f>
        <v>1.41</v>
      </c>
      <c r="I425" s="386">
        <v>22.38</v>
      </c>
    </row>
    <row r="426" spans="1:14" s="281" customFormat="1" ht="16.5" customHeight="1">
      <c r="A426" s="366" t="s">
        <v>485</v>
      </c>
      <c r="B426" s="365"/>
      <c r="C426" s="365"/>
      <c r="D426" s="365"/>
      <c r="E426" s="365"/>
      <c r="F426" s="364"/>
      <c r="G426" s="397">
        <f>SUM(G423:G424)</f>
        <v>6.529999999999999</v>
      </c>
      <c r="H426" s="376"/>
      <c r="I426" s="376"/>
      <c r="J426" s="376"/>
      <c r="K426" s="376"/>
      <c r="L426" s="376"/>
      <c r="M426" s="376"/>
      <c r="N426" s="376"/>
    </row>
    <row r="427" spans="1:14" s="281" customFormat="1" ht="16.5" customHeight="1">
      <c r="A427" s="366" t="s">
        <v>488</v>
      </c>
      <c r="B427" s="365"/>
      <c r="C427" s="365"/>
      <c r="D427" s="365"/>
      <c r="E427" s="365"/>
      <c r="F427" s="364"/>
      <c r="G427" s="397">
        <f>SUM(G425)</f>
        <v>1.41</v>
      </c>
      <c r="H427" s="376"/>
      <c r="I427" s="376"/>
      <c r="J427" s="376"/>
      <c r="K427" s="376"/>
      <c r="L427" s="376"/>
      <c r="M427" s="376"/>
      <c r="N427" s="376"/>
    </row>
    <row r="428" spans="1:14" s="281" customFormat="1" ht="16.5" customHeight="1">
      <c r="A428" s="369" t="s">
        <v>486</v>
      </c>
      <c r="B428" s="368"/>
      <c r="C428" s="368"/>
      <c r="D428" s="368"/>
      <c r="E428" s="368"/>
      <c r="F428" s="367"/>
      <c r="G428" s="398">
        <f>SUM(G426:G427)</f>
        <v>7.9399999999999995</v>
      </c>
      <c r="H428" s="394"/>
      <c r="I428" s="394"/>
      <c r="J428" s="394"/>
      <c r="K428" s="394"/>
      <c r="L428" s="394"/>
      <c r="M428" s="394"/>
      <c r="N428" s="394"/>
    </row>
    <row r="429" spans="1:14" s="281" customFormat="1" ht="16.5" customHeight="1">
      <c r="A429" s="366" t="s">
        <v>489</v>
      </c>
      <c r="B429" s="365"/>
      <c r="C429" s="365"/>
      <c r="D429" s="365"/>
      <c r="E429" s="365"/>
      <c r="F429" s="364"/>
      <c r="G429" s="397">
        <f>ROUND(G428*$H$8,2)</f>
        <v>2.32</v>
      </c>
      <c r="H429" s="376"/>
      <c r="I429" s="376"/>
      <c r="J429" s="376"/>
      <c r="K429" s="376"/>
      <c r="L429" s="376"/>
      <c r="M429" s="376"/>
      <c r="N429" s="376"/>
    </row>
    <row r="430" spans="1:14" s="281" customFormat="1" ht="16.5" customHeight="1">
      <c r="A430" s="369" t="s">
        <v>487</v>
      </c>
      <c r="B430" s="368"/>
      <c r="C430" s="368"/>
      <c r="D430" s="368"/>
      <c r="E430" s="368"/>
      <c r="F430" s="367"/>
      <c r="G430" s="398">
        <f>SUM(G428:G429)</f>
        <v>10.26</v>
      </c>
      <c r="H430" s="394"/>
      <c r="I430" s="394"/>
      <c r="J430" s="394"/>
      <c r="K430" s="394"/>
      <c r="L430" s="394"/>
      <c r="M430" s="394"/>
      <c r="N430" s="394"/>
    </row>
    <row r="431" spans="2:13" s="281" customFormat="1" ht="13.5">
      <c r="B431" s="284"/>
      <c r="E431" s="362"/>
      <c r="F431" s="362"/>
      <c r="G431" s="362"/>
      <c r="I431" s="362"/>
      <c r="J431" s="283"/>
      <c r="K431" s="282"/>
      <c r="L431" s="282"/>
      <c r="M431" s="282"/>
    </row>
    <row r="432" spans="1:9" s="272" customFormat="1" ht="44.25" customHeight="1">
      <c r="A432" s="390" t="str">
        <f>ORÇAMENTO!B56</f>
        <v>CPU</v>
      </c>
      <c r="B432" s="388" t="str">
        <f>ORÇAMENTO!C56</f>
        <v>14</v>
      </c>
      <c r="C432" s="252" t="str">
        <f>ORÇAMENTO!D56</f>
        <v>APLICAÇÃO PULVERIZADA DE TINTA/RESINA ACRILICA PREMIUM EM TELHA CERAMICA</v>
      </c>
      <c r="D432" s="252"/>
      <c r="E432" s="252"/>
      <c r="F432" s="391" t="s">
        <v>295</v>
      </c>
      <c r="G432" s="396" t="str">
        <f>ORÇAMENTO!E56</f>
        <v>M2</v>
      </c>
      <c r="H432" s="310">
        <f>ORÇAMENTO!L56</f>
        <v>18.189999999999998</v>
      </c>
      <c r="I432" s="163" t="s">
        <v>295</v>
      </c>
    </row>
    <row r="433" spans="1:9" s="291" customFormat="1" ht="16.5" customHeight="1">
      <c r="A433" s="391" t="s">
        <v>296</v>
      </c>
      <c r="B433" s="392" t="s">
        <v>102</v>
      </c>
      <c r="C433" s="391" t="s">
        <v>36</v>
      </c>
      <c r="D433" s="399" t="s">
        <v>297</v>
      </c>
      <c r="E433" s="400" t="s">
        <v>26</v>
      </c>
      <c r="F433" s="393" t="s">
        <v>298</v>
      </c>
      <c r="G433" s="393" t="s">
        <v>10</v>
      </c>
      <c r="I433" s="393" t="s">
        <v>298</v>
      </c>
    </row>
    <row r="434" spans="1:9" ht="12.75">
      <c r="A434" s="164" t="s">
        <v>197</v>
      </c>
      <c r="B434" s="165" t="s">
        <v>474</v>
      </c>
      <c r="C434" s="166" t="s">
        <v>475</v>
      </c>
      <c r="D434" s="167" t="s">
        <v>314</v>
      </c>
      <c r="E434" s="168">
        <v>0.5</v>
      </c>
      <c r="F434" s="386">
        <f>ROUND(I434*$I$8,2)</f>
        <v>35.89</v>
      </c>
      <c r="G434" s="169">
        <f>ROUND(E434*F434,2)</f>
        <v>17.95</v>
      </c>
      <c r="I434" s="386">
        <v>35.97</v>
      </c>
    </row>
    <row r="435" spans="1:9" ht="38.25">
      <c r="A435" s="164" t="s">
        <v>99</v>
      </c>
      <c r="B435" s="165" t="s">
        <v>476</v>
      </c>
      <c r="C435" s="166" t="s">
        <v>477</v>
      </c>
      <c r="D435" s="167" t="s">
        <v>103</v>
      </c>
      <c r="E435" s="168">
        <v>0.3</v>
      </c>
      <c r="F435" s="386">
        <f>ROUND(I435*$I$8,2)</f>
        <v>0.68</v>
      </c>
      <c r="G435" s="169">
        <f>ROUND(E435*F435,2)</f>
        <v>0.2</v>
      </c>
      <c r="I435" s="386">
        <v>0.68</v>
      </c>
    </row>
    <row r="436" spans="1:14" s="281" customFormat="1" ht="16.5" customHeight="1">
      <c r="A436" s="366" t="s">
        <v>485</v>
      </c>
      <c r="B436" s="365"/>
      <c r="C436" s="365"/>
      <c r="D436" s="365"/>
      <c r="E436" s="365"/>
      <c r="F436" s="364"/>
      <c r="G436" s="397">
        <f>SUM(G434)</f>
        <v>17.95</v>
      </c>
      <c r="H436" s="376"/>
      <c r="I436" s="376"/>
      <c r="K436" s="376"/>
      <c r="L436" s="376"/>
      <c r="M436" s="376"/>
      <c r="N436" s="376"/>
    </row>
    <row r="437" spans="1:14" s="281" customFormat="1" ht="16.5" customHeight="1">
      <c r="A437" s="366" t="s">
        <v>488</v>
      </c>
      <c r="B437" s="365"/>
      <c r="C437" s="365"/>
      <c r="D437" s="365"/>
      <c r="E437" s="365"/>
      <c r="F437" s="364"/>
      <c r="G437" s="397">
        <f>SUM(G435)</f>
        <v>0.2</v>
      </c>
      <c r="H437" s="376"/>
      <c r="I437" s="376"/>
      <c r="J437" s="376"/>
      <c r="K437" s="376"/>
      <c r="L437" s="376"/>
      <c r="M437" s="376"/>
      <c r="N437" s="376"/>
    </row>
    <row r="438" spans="1:14" s="281" customFormat="1" ht="16.5" customHeight="1">
      <c r="A438" s="369" t="s">
        <v>486</v>
      </c>
      <c r="B438" s="368"/>
      <c r="C438" s="368"/>
      <c r="D438" s="368"/>
      <c r="E438" s="368"/>
      <c r="F438" s="367"/>
      <c r="G438" s="398">
        <f>SUM(G436:G437)</f>
        <v>18.15</v>
      </c>
      <c r="H438" s="394"/>
      <c r="I438" s="394"/>
      <c r="J438" s="394"/>
      <c r="K438" s="394"/>
      <c r="L438" s="394"/>
      <c r="M438" s="394"/>
      <c r="N438" s="394"/>
    </row>
    <row r="439" spans="1:14" s="281" customFormat="1" ht="16.5" customHeight="1">
      <c r="A439" s="366" t="s">
        <v>489</v>
      </c>
      <c r="B439" s="365"/>
      <c r="C439" s="365"/>
      <c r="D439" s="365"/>
      <c r="E439" s="365"/>
      <c r="F439" s="364"/>
      <c r="G439" s="397">
        <f>ROUND(G438*$H$8,2)</f>
        <v>5.31</v>
      </c>
      <c r="H439" s="376"/>
      <c r="I439" s="376"/>
      <c r="J439" s="376"/>
      <c r="K439" s="376"/>
      <c r="L439" s="376"/>
      <c r="M439" s="376"/>
      <c r="N439" s="376"/>
    </row>
    <row r="440" spans="1:14" s="281" customFormat="1" ht="16.5" customHeight="1">
      <c r="A440" s="369" t="s">
        <v>487</v>
      </c>
      <c r="B440" s="368"/>
      <c r="C440" s="368"/>
      <c r="D440" s="368"/>
      <c r="E440" s="368"/>
      <c r="F440" s="367"/>
      <c r="G440" s="398">
        <f>SUM(G438:G439)</f>
        <v>23.459999999999997</v>
      </c>
      <c r="H440" s="394"/>
      <c r="I440" s="394"/>
      <c r="J440" s="394"/>
      <c r="K440" s="394"/>
      <c r="L440" s="394"/>
      <c r="M440" s="394"/>
      <c r="N440" s="394"/>
    </row>
    <row r="441" spans="2:13" s="124" customFormat="1" ht="15" customHeight="1">
      <c r="B441" s="142"/>
      <c r="E441" s="204"/>
      <c r="F441" s="204"/>
      <c r="G441" s="204"/>
      <c r="I441" s="281"/>
      <c r="J441" s="133"/>
      <c r="K441" s="132"/>
      <c r="L441" s="132"/>
      <c r="M441" s="132"/>
    </row>
    <row r="442" spans="1:9" s="272" customFormat="1" ht="44.25" customHeight="1">
      <c r="A442" s="390" t="str">
        <f>ORÇAMENTO!B57</f>
        <v>SINAPI</v>
      </c>
      <c r="B442" s="388" t="str">
        <f>ORÇAMENTO!C57</f>
        <v>102213</v>
      </c>
      <c r="C442" s="252" t="str">
        <f>ORÇAMENTO!D57</f>
        <v>PINTURA VERNIZ (INCOLOR) ALQUÍDICO EM MADEIRA, USO INTERNO E EXTERNO, 2 DEMÃOS. AF_01/2021</v>
      </c>
      <c r="D442" s="252"/>
      <c r="E442" s="252"/>
      <c r="F442" s="391" t="s">
        <v>295</v>
      </c>
      <c r="G442" s="396" t="str">
        <f>ORÇAMENTO!E57</f>
        <v>M2</v>
      </c>
      <c r="H442" s="310">
        <f>ORÇAMENTO!L57</f>
        <v>16.24</v>
      </c>
      <c r="I442" s="163" t="s">
        <v>295</v>
      </c>
    </row>
    <row r="443" spans="1:9" s="291" customFormat="1" ht="16.5" customHeight="1">
      <c r="A443" s="391" t="s">
        <v>296</v>
      </c>
      <c r="B443" s="392" t="s">
        <v>102</v>
      </c>
      <c r="C443" s="391" t="s">
        <v>36</v>
      </c>
      <c r="D443" s="399" t="s">
        <v>297</v>
      </c>
      <c r="E443" s="400" t="s">
        <v>26</v>
      </c>
      <c r="F443" s="393" t="s">
        <v>298</v>
      </c>
      <c r="G443" s="393" t="s">
        <v>10</v>
      </c>
      <c r="I443" s="393" t="s">
        <v>298</v>
      </c>
    </row>
    <row r="444" spans="1:9" s="272" customFormat="1" ht="12.75">
      <c r="A444" s="382" t="s">
        <v>197</v>
      </c>
      <c r="B444" s="389" t="s">
        <v>607</v>
      </c>
      <c r="C444" s="383" t="s">
        <v>608</v>
      </c>
      <c r="D444" s="384" t="s">
        <v>314</v>
      </c>
      <c r="E444" s="385">
        <v>0.0271</v>
      </c>
      <c r="F444" s="386">
        <f>ROUND(I444*$I$8,2)</f>
        <v>16.56</v>
      </c>
      <c r="G444" s="387">
        <f>ROUND(E444*F444,2)</f>
        <v>0.45</v>
      </c>
      <c r="I444" s="386">
        <v>16.6</v>
      </c>
    </row>
    <row r="445" spans="1:9" s="272" customFormat="1" ht="25.5">
      <c r="A445" s="382" t="s">
        <v>197</v>
      </c>
      <c r="B445" s="389" t="s">
        <v>613</v>
      </c>
      <c r="C445" s="383" t="s">
        <v>614</v>
      </c>
      <c r="D445" s="384" t="s">
        <v>314</v>
      </c>
      <c r="E445" s="385">
        <v>0.1804</v>
      </c>
      <c r="F445" s="386">
        <f>ROUND(I445*$I$8,2)</f>
        <v>29.06</v>
      </c>
      <c r="G445" s="387">
        <f>ROUND(E445*F445,2)</f>
        <v>5.24</v>
      </c>
      <c r="I445" s="386">
        <v>29.13</v>
      </c>
    </row>
    <row r="446" spans="1:9" s="272" customFormat="1" ht="12.75">
      <c r="A446" s="382" t="s">
        <v>99</v>
      </c>
      <c r="B446" s="389" t="s">
        <v>310</v>
      </c>
      <c r="C446" s="383" t="s">
        <v>311</v>
      </c>
      <c r="D446" s="384" t="s">
        <v>103</v>
      </c>
      <c r="E446" s="385">
        <v>0.4718</v>
      </c>
      <c r="F446" s="386">
        <f>ROUND(I446*$J$8,2)</f>
        <v>22.19</v>
      </c>
      <c r="G446" s="387">
        <f>ROUND(E446*F446,2)</f>
        <v>10.47</v>
      </c>
      <c r="I446" s="386">
        <v>22.38</v>
      </c>
    </row>
    <row r="447" spans="1:14" s="281" customFormat="1" ht="16.5" customHeight="1">
      <c r="A447" s="366" t="s">
        <v>485</v>
      </c>
      <c r="B447" s="365"/>
      <c r="C447" s="365"/>
      <c r="D447" s="365"/>
      <c r="E447" s="365"/>
      <c r="F447" s="364"/>
      <c r="G447" s="397">
        <f>SUM(G444:G445)</f>
        <v>5.69</v>
      </c>
      <c r="H447" s="376"/>
      <c r="I447" s="376"/>
      <c r="J447" s="376"/>
      <c r="K447" s="376"/>
      <c r="L447" s="376"/>
      <c r="M447" s="376"/>
      <c r="N447" s="376"/>
    </row>
    <row r="448" spans="1:14" s="281" customFormat="1" ht="16.5" customHeight="1">
      <c r="A448" s="366" t="s">
        <v>488</v>
      </c>
      <c r="B448" s="365"/>
      <c r="C448" s="365"/>
      <c r="D448" s="365"/>
      <c r="E448" s="365"/>
      <c r="F448" s="364"/>
      <c r="G448" s="397">
        <f>SUM(G446)</f>
        <v>10.47</v>
      </c>
      <c r="H448" s="376"/>
      <c r="I448" s="376"/>
      <c r="J448" s="376"/>
      <c r="K448" s="376"/>
      <c r="L448" s="376"/>
      <c r="M448" s="376"/>
      <c r="N448" s="376"/>
    </row>
    <row r="449" spans="1:14" s="281" customFormat="1" ht="16.5" customHeight="1">
      <c r="A449" s="369" t="s">
        <v>486</v>
      </c>
      <c r="B449" s="368"/>
      <c r="C449" s="368"/>
      <c r="D449" s="368"/>
      <c r="E449" s="368"/>
      <c r="F449" s="367"/>
      <c r="G449" s="398">
        <f>SUM(G447:G448)</f>
        <v>16.16</v>
      </c>
      <c r="H449" s="394"/>
      <c r="I449" s="394"/>
      <c r="J449" s="394"/>
      <c r="K449" s="394"/>
      <c r="L449" s="394"/>
      <c r="M449" s="394"/>
      <c r="N449" s="394"/>
    </row>
    <row r="450" spans="1:14" s="281" customFormat="1" ht="16.5" customHeight="1">
      <c r="A450" s="366" t="s">
        <v>489</v>
      </c>
      <c r="B450" s="365"/>
      <c r="C450" s="365"/>
      <c r="D450" s="365"/>
      <c r="E450" s="365"/>
      <c r="F450" s="364"/>
      <c r="G450" s="397">
        <f>ROUND(G449*$H$8,2)</f>
        <v>4.73</v>
      </c>
      <c r="H450" s="376"/>
      <c r="I450" s="376"/>
      <c r="J450" s="376"/>
      <c r="K450" s="376"/>
      <c r="L450" s="376"/>
      <c r="M450" s="376"/>
      <c r="N450" s="376"/>
    </row>
    <row r="451" spans="1:14" s="281" customFormat="1" ht="16.5" customHeight="1">
      <c r="A451" s="369" t="s">
        <v>487</v>
      </c>
      <c r="B451" s="368"/>
      <c r="C451" s="368"/>
      <c r="D451" s="368"/>
      <c r="E451" s="368"/>
      <c r="F451" s="367"/>
      <c r="G451" s="398">
        <f>SUM(G449:G450)</f>
        <v>20.89</v>
      </c>
      <c r="H451" s="394"/>
      <c r="I451" s="394"/>
      <c r="J451" s="394"/>
      <c r="K451" s="394"/>
      <c r="L451" s="394"/>
      <c r="M451" s="394"/>
      <c r="N451" s="394"/>
    </row>
    <row r="452" spans="2:13" s="281" customFormat="1" ht="13.5">
      <c r="B452" s="284"/>
      <c r="E452" s="362"/>
      <c r="F452" s="362"/>
      <c r="G452" s="362"/>
      <c r="I452" s="362"/>
      <c r="J452" s="283"/>
      <c r="K452" s="282"/>
      <c r="L452" s="282"/>
      <c r="M452" s="282"/>
    </row>
    <row r="453" spans="1:9" s="272" customFormat="1" ht="44.25" customHeight="1">
      <c r="A453" s="390" t="str">
        <f>ORÇAMENTO!B58</f>
        <v>SINAPI</v>
      </c>
      <c r="B453" s="388" t="str">
        <f>ORÇAMENTO!C58</f>
        <v>102491</v>
      </c>
      <c r="C453" s="252" t="str">
        <f>ORÇAMENTO!D58</f>
        <v>PINTURA DE PISO COM TINTA ACRÍLICA, APLICAÇÃO MANUAL, 2 DEMÃOS, INCLUSO FUNDO PREPARADOR. AF_05/2021</v>
      </c>
      <c r="D453" s="252"/>
      <c r="E453" s="252"/>
      <c r="F453" s="391" t="s">
        <v>295</v>
      </c>
      <c r="G453" s="396" t="str">
        <f>ORÇAMENTO!E58</f>
        <v>M2</v>
      </c>
      <c r="H453" s="310">
        <f>ORÇAMENTO!L58</f>
        <v>16.48</v>
      </c>
      <c r="I453" s="163" t="s">
        <v>295</v>
      </c>
    </row>
    <row r="454" spans="1:9" s="291" customFormat="1" ht="16.5" customHeight="1">
      <c r="A454" s="391" t="s">
        <v>296</v>
      </c>
      <c r="B454" s="392" t="s">
        <v>102</v>
      </c>
      <c r="C454" s="391" t="s">
        <v>36</v>
      </c>
      <c r="D454" s="399" t="s">
        <v>297</v>
      </c>
      <c r="E454" s="400" t="s">
        <v>26</v>
      </c>
      <c r="F454" s="393" t="s">
        <v>298</v>
      </c>
      <c r="G454" s="393" t="s">
        <v>10</v>
      </c>
      <c r="I454" s="393" t="s">
        <v>298</v>
      </c>
    </row>
    <row r="455" spans="1:9" s="272" customFormat="1" ht="25.5">
      <c r="A455" s="382" t="s">
        <v>197</v>
      </c>
      <c r="B455" s="389" t="s">
        <v>603</v>
      </c>
      <c r="C455" s="383" t="s">
        <v>604</v>
      </c>
      <c r="D455" s="384" t="s">
        <v>314</v>
      </c>
      <c r="E455" s="385">
        <v>0.16</v>
      </c>
      <c r="F455" s="386">
        <f>$F$376</f>
        <v>7.34</v>
      </c>
      <c r="G455" s="387">
        <f>ROUND(E455*F455,2)</f>
        <v>1.17</v>
      </c>
      <c r="I455" s="386">
        <v>7.42</v>
      </c>
    </row>
    <row r="456" spans="1:9" s="272" customFormat="1" ht="12.75">
      <c r="A456" s="382" t="s">
        <v>197</v>
      </c>
      <c r="B456" s="389" t="s">
        <v>615</v>
      </c>
      <c r="C456" s="383" t="s">
        <v>616</v>
      </c>
      <c r="D456" s="384" t="s">
        <v>314</v>
      </c>
      <c r="E456" s="385">
        <v>0.427</v>
      </c>
      <c r="F456" s="386">
        <f>ROUND(I456*$I$8,2)</f>
        <v>16.67</v>
      </c>
      <c r="G456" s="387">
        <f>ROUND(E456*F456,2)</f>
        <v>7.12</v>
      </c>
      <c r="I456" s="386">
        <v>16.71</v>
      </c>
    </row>
    <row r="457" spans="1:9" s="272" customFormat="1" ht="12.75">
      <c r="A457" s="382" t="s">
        <v>197</v>
      </c>
      <c r="B457" s="389" t="s">
        <v>617</v>
      </c>
      <c r="C457" s="383" t="s">
        <v>618</v>
      </c>
      <c r="D457" s="384" t="s">
        <v>214</v>
      </c>
      <c r="E457" s="385">
        <v>0.01</v>
      </c>
      <c r="F457" s="386">
        <f>ROUND(I457*$I$8,2)</f>
        <v>6.52</v>
      </c>
      <c r="G457" s="387">
        <f>ROUND(E457*F457,2)</f>
        <v>0.07</v>
      </c>
      <c r="I457" s="386">
        <v>6.54</v>
      </c>
    </row>
    <row r="458" spans="1:9" s="272" customFormat="1" ht="12.75">
      <c r="A458" s="382" t="s">
        <v>99</v>
      </c>
      <c r="B458" s="389" t="s">
        <v>310</v>
      </c>
      <c r="C458" s="383" t="s">
        <v>311</v>
      </c>
      <c r="D458" s="384" t="s">
        <v>103</v>
      </c>
      <c r="E458" s="385">
        <v>0.275</v>
      </c>
      <c r="F458" s="386">
        <f>ROUND(I458*$J$8,2)</f>
        <v>22.19</v>
      </c>
      <c r="G458" s="387">
        <f>ROUND(E458*F458,2)</f>
        <v>6.1</v>
      </c>
      <c r="I458" s="386">
        <v>22.38</v>
      </c>
    </row>
    <row r="459" spans="1:9" s="272" customFormat="1" ht="12.75">
      <c r="A459" s="382" t="s">
        <v>99</v>
      </c>
      <c r="B459" s="389" t="s">
        <v>208</v>
      </c>
      <c r="C459" s="383" t="s">
        <v>209</v>
      </c>
      <c r="D459" s="384" t="s">
        <v>103</v>
      </c>
      <c r="E459" s="385">
        <v>0.115</v>
      </c>
      <c r="F459" s="386">
        <f>ROUND(I459*$J$8,2)</f>
        <v>16.94</v>
      </c>
      <c r="G459" s="387">
        <f>ROUND(E459*F459,2)</f>
        <v>1.95</v>
      </c>
      <c r="I459" s="386">
        <v>17.09</v>
      </c>
    </row>
    <row r="460" spans="1:14" s="281" customFormat="1" ht="16.5" customHeight="1">
      <c r="A460" s="366" t="s">
        <v>485</v>
      </c>
      <c r="B460" s="365"/>
      <c r="C460" s="365"/>
      <c r="D460" s="365"/>
      <c r="E460" s="365"/>
      <c r="F460" s="364"/>
      <c r="G460" s="397">
        <f>SUM(G455:G457)</f>
        <v>8.36</v>
      </c>
      <c r="H460" s="376"/>
      <c r="I460" s="376"/>
      <c r="J460" s="376"/>
      <c r="K460" s="376"/>
      <c r="L460" s="376"/>
      <c r="M460" s="376"/>
      <c r="N460" s="376"/>
    </row>
    <row r="461" spans="1:14" s="281" customFormat="1" ht="16.5" customHeight="1">
      <c r="A461" s="366" t="s">
        <v>488</v>
      </c>
      <c r="B461" s="365"/>
      <c r="C461" s="365"/>
      <c r="D461" s="365"/>
      <c r="E461" s="365"/>
      <c r="F461" s="364"/>
      <c r="G461" s="397">
        <f>SUM(G458:G459)</f>
        <v>8.049999999999999</v>
      </c>
      <c r="H461" s="376"/>
      <c r="I461" s="376"/>
      <c r="J461" s="376"/>
      <c r="K461" s="376"/>
      <c r="L461" s="376"/>
      <c r="M461" s="376"/>
      <c r="N461" s="376"/>
    </row>
    <row r="462" spans="1:14" s="281" customFormat="1" ht="16.5" customHeight="1">
      <c r="A462" s="369" t="s">
        <v>486</v>
      </c>
      <c r="B462" s="368"/>
      <c r="C462" s="368"/>
      <c r="D462" s="368"/>
      <c r="E462" s="368"/>
      <c r="F462" s="367"/>
      <c r="G462" s="398">
        <f>SUM(G460:G461)</f>
        <v>16.409999999999997</v>
      </c>
      <c r="H462" s="394"/>
      <c r="I462" s="394"/>
      <c r="J462" s="394"/>
      <c r="K462" s="394"/>
      <c r="L462" s="394"/>
      <c r="M462" s="394"/>
      <c r="N462" s="394"/>
    </row>
    <row r="463" spans="1:14" s="281" customFormat="1" ht="16.5" customHeight="1">
      <c r="A463" s="366" t="s">
        <v>489</v>
      </c>
      <c r="B463" s="365"/>
      <c r="C463" s="365"/>
      <c r="D463" s="365"/>
      <c r="E463" s="365"/>
      <c r="F463" s="364"/>
      <c r="G463" s="397">
        <f>ROUND(G462*$H$8,2)</f>
        <v>4.8</v>
      </c>
      <c r="H463" s="376"/>
      <c r="I463" s="376"/>
      <c r="J463" s="376"/>
      <c r="K463" s="376"/>
      <c r="L463" s="376"/>
      <c r="M463" s="376"/>
      <c r="N463" s="376"/>
    </row>
    <row r="464" spans="1:14" s="281" customFormat="1" ht="16.5" customHeight="1">
      <c r="A464" s="369" t="s">
        <v>487</v>
      </c>
      <c r="B464" s="368"/>
      <c r="C464" s="368"/>
      <c r="D464" s="368"/>
      <c r="E464" s="368"/>
      <c r="F464" s="367"/>
      <c r="G464" s="398">
        <f>SUM(G462:G463)</f>
        <v>21.209999999999997</v>
      </c>
      <c r="H464" s="394"/>
      <c r="I464" s="394"/>
      <c r="J464" s="394"/>
      <c r="K464" s="394"/>
      <c r="L464" s="394"/>
      <c r="M464" s="394"/>
      <c r="N464" s="394"/>
    </row>
    <row r="465" spans="2:13" s="281" customFormat="1" ht="13.5">
      <c r="B465" s="284"/>
      <c r="E465" s="362"/>
      <c r="F465" s="362"/>
      <c r="G465" s="362"/>
      <c r="I465" s="362"/>
      <c r="J465" s="283"/>
      <c r="K465" s="282"/>
      <c r="L465" s="282"/>
      <c r="M465" s="282"/>
    </row>
    <row r="466" spans="1:9" s="272" customFormat="1" ht="56.25" customHeight="1">
      <c r="A466" s="390" t="str">
        <f>ORÇAMENTO!B60</f>
        <v>SINAPI</v>
      </c>
      <c r="B466" s="388" t="str">
        <f>ORÇAMENTO!C60</f>
        <v>93145</v>
      </c>
      <c r="C466" s="252" t="str">
        <f>ORÇAMENTO!D60</f>
        <v>PONTO DE ILUMINAÇÃO E TOMADA, RESIDENCIAL, INCLUINDO INTERRUPTOR SIMPLES E TOMADA 10A/250V, CAIXA ELÉTRICA, ELETRODUTO, CABO, RASGO, QUEBRA E CHUMBAMENTO (EXCLUINDO LUMINÁRIA E LÂMPADA). AF_01/2016</v>
      </c>
      <c r="D466" s="252"/>
      <c r="E466" s="252"/>
      <c r="F466" s="391" t="s">
        <v>295</v>
      </c>
      <c r="G466" s="396" t="str">
        <f>ORÇAMENTO!E60</f>
        <v>UN</v>
      </c>
      <c r="H466" s="310">
        <f>ORÇAMENTO!L60</f>
        <v>199.62</v>
      </c>
      <c r="I466" s="163" t="s">
        <v>295</v>
      </c>
    </row>
    <row r="467" spans="1:9" s="291" customFormat="1" ht="16.5" customHeight="1">
      <c r="A467" s="391" t="s">
        <v>296</v>
      </c>
      <c r="B467" s="392" t="s">
        <v>102</v>
      </c>
      <c r="C467" s="391" t="s">
        <v>36</v>
      </c>
      <c r="D467" s="399" t="s">
        <v>297</v>
      </c>
      <c r="E467" s="400" t="s">
        <v>26</v>
      </c>
      <c r="F467" s="393" t="s">
        <v>298</v>
      </c>
      <c r="G467" s="393" t="s">
        <v>10</v>
      </c>
      <c r="I467" s="393" t="s">
        <v>298</v>
      </c>
    </row>
    <row r="468" spans="1:9" s="272" customFormat="1" ht="25.5">
      <c r="A468" s="382" t="s">
        <v>99</v>
      </c>
      <c r="B468" s="389" t="s">
        <v>619</v>
      </c>
      <c r="C468" s="383" t="s">
        <v>620</v>
      </c>
      <c r="D468" s="384" t="s">
        <v>178</v>
      </c>
      <c r="E468" s="385">
        <v>2.2</v>
      </c>
      <c r="F468" s="386">
        <f aca="true" t="shared" si="14" ref="F468:F477">ROUND(I468*$I$8,2)</f>
        <v>5.2</v>
      </c>
      <c r="G468" s="387">
        <f aca="true" t="shared" si="15" ref="G468:G477">ROUND(E468*F468,2)</f>
        <v>11.44</v>
      </c>
      <c r="I468" s="386">
        <v>5.21</v>
      </c>
    </row>
    <row r="469" spans="1:9" s="272" customFormat="1" ht="25.5">
      <c r="A469" s="382" t="s">
        <v>99</v>
      </c>
      <c r="B469" s="389" t="s">
        <v>621</v>
      </c>
      <c r="C469" s="383" t="s">
        <v>622</v>
      </c>
      <c r="D469" s="384" t="s">
        <v>179</v>
      </c>
      <c r="E469" s="385">
        <v>1</v>
      </c>
      <c r="F469" s="386">
        <f t="shared" si="14"/>
        <v>3.36</v>
      </c>
      <c r="G469" s="387">
        <f t="shared" si="15"/>
        <v>3.36</v>
      </c>
      <c r="I469" s="386">
        <v>3.37</v>
      </c>
    </row>
    <row r="470" spans="1:9" s="272" customFormat="1" ht="38.25">
      <c r="A470" s="382" t="s">
        <v>99</v>
      </c>
      <c r="B470" s="389" t="s">
        <v>623</v>
      </c>
      <c r="C470" s="383" t="s">
        <v>624</v>
      </c>
      <c r="D470" s="384" t="s">
        <v>178</v>
      </c>
      <c r="E470" s="385">
        <v>2.2</v>
      </c>
      <c r="F470" s="386">
        <f t="shared" si="14"/>
        <v>11.02</v>
      </c>
      <c r="G470" s="387">
        <f t="shared" si="15"/>
        <v>24.24</v>
      </c>
      <c r="I470" s="386">
        <v>11.05</v>
      </c>
    </row>
    <row r="471" spans="1:9" s="272" customFormat="1" ht="38.25">
      <c r="A471" s="382" t="s">
        <v>99</v>
      </c>
      <c r="B471" s="389" t="s">
        <v>625</v>
      </c>
      <c r="C471" s="383" t="s">
        <v>626</v>
      </c>
      <c r="D471" s="384" t="s">
        <v>178</v>
      </c>
      <c r="E471" s="385">
        <v>2</v>
      </c>
      <c r="F471" s="386">
        <f t="shared" si="14"/>
        <v>5.65</v>
      </c>
      <c r="G471" s="387">
        <f t="shared" si="15"/>
        <v>11.3</v>
      </c>
      <c r="I471" s="386">
        <v>5.66</v>
      </c>
    </row>
    <row r="472" spans="1:9" s="272" customFormat="1" ht="38.25">
      <c r="A472" s="382" t="s">
        <v>99</v>
      </c>
      <c r="B472" s="389" t="s">
        <v>627</v>
      </c>
      <c r="C472" s="383" t="s">
        <v>628</v>
      </c>
      <c r="D472" s="384" t="s">
        <v>178</v>
      </c>
      <c r="E472" s="385">
        <v>2.2</v>
      </c>
      <c r="F472" s="386">
        <f t="shared" si="14"/>
        <v>7.59</v>
      </c>
      <c r="G472" s="387">
        <f t="shared" si="15"/>
        <v>16.7</v>
      </c>
      <c r="I472" s="386">
        <v>7.61</v>
      </c>
    </row>
    <row r="473" spans="1:9" s="272" customFormat="1" ht="38.25">
      <c r="A473" s="382" t="s">
        <v>99</v>
      </c>
      <c r="B473" s="389" t="s">
        <v>629</v>
      </c>
      <c r="C473" s="383" t="s">
        <v>630</v>
      </c>
      <c r="D473" s="384" t="s">
        <v>178</v>
      </c>
      <c r="E473" s="385">
        <v>8.4</v>
      </c>
      <c r="F473" s="386">
        <f t="shared" si="14"/>
        <v>2.82</v>
      </c>
      <c r="G473" s="387">
        <f t="shared" si="15"/>
        <v>23.69</v>
      </c>
      <c r="I473" s="386">
        <v>2.83</v>
      </c>
    </row>
    <row r="474" spans="1:9" s="272" customFormat="1" ht="38.25">
      <c r="A474" s="382" t="s">
        <v>99</v>
      </c>
      <c r="B474" s="389" t="s">
        <v>631</v>
      </c>
      <c r="C474" s="383" t="s">
        <v>632</v>
      </c>
      <c r="D474" s="384" t="s">
        <v>178</v>
      </c>
      <c r="E474" s="385">
        <v>12.6</v>
      </c>
      <c r="F474" s="386">
        <f t="shared" si="14"/>
        <v>4.16</v>
      </c>
      <c r="G474" s="387">
        <f t="shared" si="15"/>
        <v>52.42</v>
      </c>
      <c r="I474" s="386">
        <v>4.17</v>
      </c>
    </row>
    <row r="475" spans="1:9" s="272" customFormat="1" ht="25.5">
      <c r="A475" s="382" t="s">
        <v>99</v>
      </c>
      <c r="B475" s="389" t="s">
        <v>633</v>
      </c>
      <c r="C475" s="383" t="s">
        <v>634</v>
      </c>
      <c r="D475" s="384" t="s">
        <v>179</v>
      </c>
      <c r="E475" s="385">
        <v>0.375</v>
      </c>
      <c r="F475" s="386">
        <f t="shared" si="14"/>
        <v>9.86</v>
      </c>
      <c r="G475" s="387">
        <f t="shared" si="15"/>
        <v>3.7</v>
      </c>
      <c r="I475" s="386">
        <v>9.88</v>
      </c>
    </row>
    <row r="476" spans="1:9" s="272" customFormat="1" ht="38.25">
      <c r="A476" s="382" t="s">
        <v>99</v>
      </c>
      <c r="B476" s="389" t="s">
        <v>635</v>
      </c>
      <c r="C476" s="383" t="s">
        <v>636</v>
      </c>
      <c r="D476" s="384" t="s">
        <v>179</v>
      </c>
      <c r="E476" s="385">
        <v>1</v>
      </c>
      <c r="F476" s="386">
        <f t="shared" si="14"/>
        <v>12.54</v>
      </c>
      <c r="G476" s="387">
        <f t="shared" si="15"/>
        <v>12.54</v>
      </c>
      <c r="I476" s="386">
        <v>12.57</v>
      </c>
    </row>
    <row r="477" spans="1:9" s="272" customFormat="1" ht="38.25">
      <c r="A477" s="382" t="s">
        <v>99</v>
      </c>
      <c r="B477" s="389" t="s">
        <v>637</v>
      </c>
      <c r="C477" s="383" t="s">
        <v>638</v>
      </c>
      <c r="D477" s="384" t="s">
        <v>179</v>
      </c>
      <c r="E477" s="385">
        <v>1</v>
      </c>
      <c r="F477" s="386">
        <f t="shared" si="14"/>
        <v>39.75</v>
      </c>
      <c r="G477" s="387">
        <f t="shared" si="15"/>
        <v>39.75</v>
      </c>
      <c r="I477" s="386">
        <v>39.84</v>
      </c>
    </row>
    <row r="478" spans="1:14" s="281" customFormat="1" ht="16.5" customHeight="1">
      <c r="A478" s="366" t="s">
        <v>485</v>
      </c>
      <c r="B478" s="365"/>
      <c r="C478" s="365"/>
      <c r="D478" s="365"/>
      <c r="E478" s="365"/>
      <c r="F478" s="364"/>
      <c r="G478" s="397">
        <f>SUM(G471:G477)</f>
        <v>160.1</v>
      </c>
      <c r="H478" s="376"/>
      <c r="I478" s="376"/>
      <c r="J478" s="376"/>
      <c r="K478" s="376"/>
      <c r="L478" s="376"/>
      <c r="M478" s="376"/>
      <c r="N478" s="376"/>
    </row>
    <row r="479" spans="1:14" s="281" customFormat="1" ht="16.5" customHeight="1">
      <c r="A479" s="366" t="s">
        <v>488</v>
      </c>
      <c r="B479" s="365"/>
      <c r="C479" s="365"/>
      <c r="D479" s="365"/>
      <c r="E479" s="365"/>
      <c r="F479" s="364"/>
      <c r="G479" s="397">
        <f>SUM(G468:G470)</f>
        <v>39.04</v>
      </c>
      <c r="H479" s="376"/>
      <c r="I479" s="376"/>
      <c r="J479" s="376"/>
      <c r="K479" s="376"/>
      <c r="L479" s="376"/>
      <c r="M479" s="376"/>
      <c r="N479" s="376"/>
    </row>
    <row r="480" spans="1:14" s="281" customFormat="1" ht="16.5" customHeight="1">
      <c r="A480" s="369" t="s">
        <v>486</v>
      </c>
      <c r="B480" s="368"/>
      <c r="C480" s="368"/>
      <c r="D480" s="368"/>
      <c r="E480" s="368"/>
      <c r="F480" s="367"/>
      <c r="G480" s="398">
        <f>SUM(G478:G479)</f>
        <v>199.14</v>
      </c>
      <c r="H480" s="394"/>
      <c r="I480" s="394"/>
      <c r="J480" s="394"/>
      <c r="K480" s="394"/>
      <c r="L480" s="394"/>
      <c r="M480" s="394"/>
      <c r="N480" s="394"/>
    </row>
    <row r="481" spans="1:14" s="281" customFormat="1" ht="16.5" customHeight="1">
      <c r="A481" s="366" t="s">
        <v>489</v>
      </c>
      <c r="B481" s="365"/>
      <c r="C481" s="365"/>
      <c r="D481" s="365"/>
      <c r="E481" s="365"/>
      <c r="F481" s="364"/>
      <c r="G481" s="397">
        <f>ROUND(G480*$H$8,2)</f>
        <v>58.29</v>
      </c>
      <c r="H481" s="376"/>
      <c r="I481" s="376"/>
      <c r="J481" s="376"/>
      <c r="K481" s="376"/>
      <c r="L481" s="376"/>
      <c r="M481" s="376"/>
      <c r="N481" s="376"/>
    </row>
    <row r="482" spans="1:14" s="281" customFormat="1" ht="16.5" customHeight="1">
      <c r="A482" s="369" t="s">
        <v>487</v>
      </c>
      <c r="B482" s="368"/>
      <c r="C482" s="368"/>
      <c r="D482" s="368"/>
      <c r="E482" s="368"/>
      <c r="F482" s="367"/>
      <c r="G482" s="398">
        <f>SUM(G480:G481)</f>
        <v>257.43</v>
      </c>
      <c r="H482" s="394"/>
      <c r="I482" s="394"/>
      <c r="J482" s="394"/>
      <c r="K482" s="394"/>
      <c r="L482" s="394"/>
      <c r="M482" s="394"/>
      <c r="N482" s="394"/>
    </row>
    <row r="483" spans="2:13" s="281" customFormat="1" ht="13.5">
      <c r="B483" s="284"/>
      <c r="E483" s="362"/>
      <c r="F483" s="362"/>
      <c r="G483" s="362"/>
      <c r="I483" s="362"/>
      <c r="J483" s="283"/>
      <c r="K483" s="282"/>
      <c r="L483" s="282"/>
      <c r="M483" s="282"/>
    </row>
    <row r="484" spans="1:9" s="272" customFormat="1" ht="44.25" customHeight="1">
      <c r="A484" s="390" t="str">
        <f>ORÇAMENTO!B61</f>
        <v>SINAPI</v>
      </c>
      <c r="B484" s="388" t="str">
        <f>ORÇAMENTO!C61</f>
        <v>93137</v>
      </c>
      <c r="C484" s="252" t="str">
        <f>ORÇAMENTO!D61</f>
        <v>PONTO DE ILUMINAÇÃO RESIDENCIAL INCLUINDO INTERRUPTOR SIMPLES (2 MÓDULOS), CAIXA ELÉTRICA, ELETRODUTO, CABO, RASGO, QUEBRA E CHUMBAMENTO (EXCLUINDO LUMINÁRIA E LÂMPADA). AF_01/2016</v>
      </c>
      <c r="D484" s="252"/>
      <c r="E484" s="252"/>
      <c r="F484" s="391" t="s">
        <v>295</v>
      </c>
      <c r="G484" s="396" t="str">
        <f>ORÇAMENTO!E61</f>
        <v>UN</v>
      </c>
      <c r="H484" s="310">
        <f>ORÇAMENTO!L61</f>
        <v>154.86</v>
      </c>
      <c r="I484" s="163" t="s">
        <v>295</v>
      </c>
    </row>
    <row r="485" spans="1:9" s="291" customFormat="1" ht="16.5" customHeight="1">
      <c r="A485" s="391" t="s">
        <v>296</v>
      </c>
      <c r="B485" s="392" t="s">
        <v>102</v>
      </c>
      <c r="C485" s="391" t="s">
        <v>36</v>
      </c>
      <c r="D485" s="399" t="s">
        <v>297</v>
      </c>
      <c r="E485" s="400" t="s">
        <v>26</v>
      </c>
      <c r="F485" s="393" t="s">
        <v>298</v>
      </c>
      <c r="G485" s="393" t="s">
        <v>10</v>
      </c>
      <c r="I485" s="393" t="s">
        <v>298</v>
      </c>
    </row>
    <row r="486" spans="1:9" s="272" customFormat="1" ht="25.5">
      <c r="A486" s="382" t="s">
        <v>99</v>
      </c>
      <c r="B486" s="389" t="s">
        <v>619</v>
      </c>
      <c r="C486" s="383" t="s">
        <v>620</v>
      </c>
      <c r="D486" s="384" t="s">
        <v>178</v>
      </c>
      <c r="E486" s="385">
        <v>2.2</v>
      </c>
      <c r="F486" s="386">
        <f aca="true" t="shared" si="16" ref="F486:F494">ROUND(I486*$I$8,2)</f>
        <v>5.2</v>
      </c>
      <c r="G486" s="387">
        <f aca="true" t="shared" si="17" ref="G486:G494">ROUND(E486*F486,2)</f>
        <v>11.44</v>
      </c>
      <c r="I486" s="386">
        <v>5.21</v>
      </c>
    </row>
    <row r="487" spans="1:9" s="272" customFormat="1" ht="25.5">
      <c r="A487" s="382" t="s">
        <v>99</v>
      </c>
      <c r="B487" s="389" t="s">
        <v>621</v>
      </c>
      <c r="C487" s="383" t="s">
        <v>622</v>
      </c>
      <c r="D487" s="384" t="s">
        <v>179</v>
      </c>
      <c r="E487" s="385">
        <v>1</v>
      </c>
      <c r="F487" s="386">
        <f t="shared" si="16"/>
        <v>3.36</v>
      </c>
      <c r="G487" s="387">
        <f t="shared" si="17"/>
        <v>3.36</v>
      </c>
      <c r="I487" s="386">
        <v>3.37</v>
      </c>
    </row>
    <row r="488" spans="1:9" s="272" customFormat="1" ht="38.25">
      <c r="A488" s="382" t="s">
        <v>99</v>
      </c>
      <c r="B488" s="389" t="s">
        <v>623</v>
      </c>
      <c r="C488" s="383" t="s">
        <v>624</v>
      </c>
      <c r="D488" s="384" t="s">
        <v>178</v>
      </c>
      <c r="E488" s="385">
        <v>2.2</v>
      </c>
      <c r="F488" s="386">
        <f t="shared" si="16"/>
        <v>11.02</v>
      </c>
      <c r="G488" s="387">
        <f t="shared" si="17"/>
        <v>24.24</v>
      </c>
      <c r="I488" s="386">
        <v>11.05</v>
      </c>
    </row>
    <row r="489" spans="1:9" s="272" customFormat="1" ht="38.25">
      <c r="A489" s="382" t="s">
        <v>99</v>
      </c>
      <c r="B489" s="389" t="s">
        <v>625</v>
      </c>
      <c r="C489" s="383" t="s">
        <v>626</v>
      </c>
      <c r="D489" s="384" t="s">
        <v>178</v>
      </c>
      <c r="E489" s="385">
        <v>2</v>
      </c>
      <c r="F489" s="386">
        <f t="shared" si="16"/>
        <v>5.65</v>
      </c>
      <c r="G489" s="387">
        <f t="shared" si="17"/>
        <v>11.3</v>
      </c>
      <c r="I489" s="386">
        <v>5.66</v>
      </c>
    </row>
    <row r="490" spans="1:9" s="272" customFormat="1" ht="38.25">
      <c r="A490" s="382" t="s">
        <v>99</v>
      </c>
      <c r="B490" s="389" t="s">
        <v>627</v>
      </c>
      <c r="C490" s="383" t="s">
        <v>628</v>
      </c>
      <c r="D490" s="384" t="s">
        <v>178</v>
      </c>
      <c r="E490" s="385">
        <v>2.2</v>
      </c>
      <c r="F490" s="386">
        <f t="shared" si="16"/>
        <v>7.59</v>
      </c>
      <c r="G490" s="387">
        <f t="shared" si="17"/>
        <v>16.7</v>
      </c>
      <c r="I490" s="386">
        <v>7.61</v>
      </c>
    </row>
    <row r="491" spans="1:9" s="272" customFormat="1" ht="38.25">
      <c r="A491" s="382" t="s">
        <v>99</v>
      </c>
      <c r="B491" s="389" t="s">
        <v>629</v>
      </c>
      <c r="C491" s="383" t="s">
        <v>630</v>
      </c>
      <c r="D491" s="384" t="s">
        <v>178</v>
      </c>
      <c r="E491" s="385">
        <v>12.6</v>
      </c>
      <c r="F491" s="386">
        <f t="shared" si="16"/>
        <v>2.82</v>
      </c>
      <c r="G491" s="387">
        <f t="shared" si="17"/>
        <v>35.53</v>
      </c>
      <c r="I491" s="386">
        <v>2.83</v>
      </c>
    </row>
    <row r="492" spans="1:9" s="272" customFormat="1" ht="25.5">
      <c r="A492" s="382" t="s">
        <v>99</v>
      </c>
      <c r="B492" s="389" t="s">
        <v>633</v>
      </c>
      <c r="C492" s="383" t="s">
        <v>634</v>
      </c>
      <c r="D492" s="384" t="s">
        <v>179</v>
      </c>
      <c r="E492" s="385">
        <v>0.375</v>
      </c>
      <c r="F492" s="386">
        <f t="shared" si="16"/>
        <v>9.86</v>
      </c>
      <c r="G492" s="387">
        <f t="shared" si="17"/>
        <v>3.7</v>
      </c>
      <c r="I492" s="386">
        <v>9.88</v>
      </c>
    </row>
    <row r="493" spans="1:9" s="272" customFormat="1" ht="38.25">
      <c r="A493" s="382" t="s">
        <v>99</v>
      </c>
      <c r="B493" s="389" t="s">
        <v>635</v>
      </c>
      <c r="C493" s="383" t="s">
        <v>636</v>
      </c>
      <c r="D493" s="384" t="s">
        <v>179</v>
      </c>
      <c r="E493" s="385">
        <v>1</v>
      </c>
      <c r="F493" s="386">
        <f t="shared" si="16"/>
        <v>12.54</v>
      </c>
      <c r="G493" s="387">
        <f t="shared" si="17"/>
        <v>12.54</v>
      </c>
      <c r="I493" s="386">
        <v>12.57</v>
      </c>
    </row>
    <row r="494" spans="1:9" s="272" customFormat="1" ht="38.25">
      <c r="A494" s="382" t="s">
        <v>99</v>
      </c>
      <c r="B494" s="389" t="s">
        <v>639</v>
      </c>
      <c r="C494" s="383" t="s">
        <v>640</v>
      </c>
      <c r="D494" s="384" t="s">
        <v>179</v>
      </c>
      <c r="E494" s="385">
        <v>1</v>
      </c>
      <c r="F494" s="386">
        <f t="shared" si="16"/>
        <v>35.66</v>
      </c>
      <c r="G494" s="387">
        <f t="shared" si="17"/>
        <v>35.66</v>
      </c>
      <c r="I494" s="386">
        <v>35.74</v>
      </c>
    </row>
    <row r="495" spans="1:14" s="281" customFormat="1" ht="16.5" customHeight="1">
      <c r="A495" s="366" t="s">
        <v>485</v>
      </c>
      <c r="B495" s="365"/>
      <c r="C495" s="365"/>
      <c r="D495" s="365"/>
      <c r="E495" s="365"/>
      <c r="F495" s="364"/>
      <c r="G495" s="397">
        <f>SUM(G489:G494)</f>
        <v>115.43</v>
      </c>
      <c r="H495" s="376"/>
      <c r="I495" s="376"/>
      <c r="J495" s="376"/>
      <c r="K495" s="376"/>
      <c r="L495" s="376"/>
      <c r="M495" s="376"/>
      <c r="N495" s="376"/>
    </row>
    <row r="496" spans="1:14" s="281" customFormat="1" ht="16.5" customHeight="1">
      <c r="A496" s="366" t="s">
        <v>488</v>
      </c>
      <c r="B496" s="365"/>
      <c r="C496" s="365"/>
      <c r="D496" s="365"/>
      <c r="E496" s="365"/>
      <c r="F496" s="364"/>
      <c r="G496" s="397">
        <f>SUM(G486:G488)</f>
        <v>39.04</v>
      </c>
      <c r="H496" s="376"/>
      <c r="I496" s="376"/>
      <c r="J496" s="376"/>
      <c r="K496" s="376"/>
      <c r="L496" s="376"/>
      <c r="M496" s="376"/>
      <c r="N496" s="376"/>
    </row>
    <row r="497" spans="1:14" s="281" customFormat="1" ht="16.5" customHeight="1">
      <c r="A497" s="369" t="s">
        <v>486</v>
      </c>
      <c r="B497" s="368"/>
      <c r="C497" s="368"/>
      <c r="D497" s="368"/>
      <c r="E497" s="368"/>
      <c r="F497" s="367"/>
      <c r="G497" s="398">
        <f>SUM(G495:G496)</f>
        <v>154.47</v>
      </c>
      <c r="H497" s="394"/>
      <c r="I497" s="394"/>
      <c r="J497" s="394"/>
      <c r="K497" s="394"/>
      <c r="L497" s="394"/>
      <c r="M497" s="394"/>
      <c r="N497" s="394"/>
    </row>
    <row r="498" spans="1:14" s="281" customFormat="1" ht="16.5" customHeight="1">
      <c r="A498" s="366" t="s">
        <v>489</v>
      </c>
      <c r="B498" s="365"/>
      <c r="C498" s="365"/>
      <c r="D498" s="365"/>
      <c r="E498" s="365"/>
      <c r="F498" s="364"/>
      <c r="G498" s="397">
        <f>ROUND(G497*$H$8,2)</f>
        <v>45.21</v>
      </c>
      <c r="H498" s="376"/>
      <c r="I498" s="376"/>
      <c r="J498" s="376"/>
      <c r="K498" s="376"/>
      <c r="L498" s="376"/>
      <c r="M498" s="376"/>
      <c r="N498" s="376"/>
    </row>
    <row r="499" spans="1:14" s="281" customFormat="1" ht="16.5" customHeight="1">
      <c r="A499" s="369" t="s">
        <v>487</v>
      </c>
      <c r="B499" s="368"/>
      <c r="C499" s="368"/>
      <c r="D499" s="368"/>
      <c r="E499" s="368"/>
      <c r="F499" s="367"/>
      <c r="G499" s="398">
        <f>SUM(G497:G498)</f>
        <v>199.68</v>
      </c>
      <c r="H499" s="394"/>
      <c r="I499" s="394"/>
      <c r="J499" s="394"/>
      <c r="K499" s="394"/>
      <c r="L499" s="394"/>
      <c r="M499" s="394"/>
      <c r="N499" s="394"/>
    </row>
    <row r="500" spans="2:13" s="281" customFormat="1" ht="13.5">
      <c r="B500" s="284"/>
      <c r="E500" s="362"/>
      <c r="F500" s="362"/>
      <c r="G500" s="362"/>
      <c r="I500" s="362"/>
      <c r="J500" s="283"/>
      <c r="K500" s="282"/>
      <c r="L500" s="282"/>
      <c r="M500" s="282"/>
    </row>
    <row r="501" spans="1:9" s="272" customFormat="1" ht="31.5" customHeight="1">
      <c r="A501" s="390" t="str">
        <f>ORÇAMENTO!B62</f>
        <v>SEDOP</v>
      </c>
      <c r="B501" s="388">
        <f>ORÇAMENTO!C62</f>
        <v>170701</v>
      </c>
      <c r="C501" s="252" t="str">
        <f>ORÇAMENTO!D62</f>
        <v>Ponto de força (tubul., fiaçao e disjuntor) acima de 200W</v>
      </c>
      <c r="D501" s="252"/>
      <c r="E501" s="252"/>
      <c r="F501" s="391" t="s">
        <v>295</v>
      </c>
      <c r="G501" s="396" t="str">
        <f>ORÇAMENTO!E62</f>
        <v>PT</v>
      </c>
      <c r="H501" s="310">
        <f>ORÇAMENTO!L62</f>
        <v>492.31</v>
      </c>
      <c r="I501" s="163" t="s">
        <v>295</v>
      </c>
    </row>
    <row r="502" spans="1:9" s="291" customFormat="1" ht="16.5" customHeight="1">
      <c r="A502" s="391" t="s">
        <v>296</v>
      </c>
      <c r="B502" s="392" t="s">
        <v>102</v>
      </c>
      <c r="C502" s="391" t="s">
        <v>36</v>
      </c>
      <c r="D502" s="399" t="s">
        <v>297</v>
      </c>
      <c r="E502" s="400" t="s">
        <v>26</v>
      </c>
      <c r="F502" s="393" t="s">
        <v>298</v>
      </c>
      <c r="G502" s="393" t="s">
        <v>10</v>
      </c>
      <c r="I502" s="393" t="s">
        <v>298</v>
      </c>
    </row>
    <row r="503" spans="1:9" s="272" customFormat="1" ht="12.75">
      <c r="A503" s="382" t="s">
        <v>220</v>
      </c>
      <c r="B503" s="389" t="s">
        <v>641</v>
      </c>
      <c r="C503" s="383" t="s">
        <v>645</v>
      </c>
      <c r="D503" s="384" t="s">
        <v>179</v>
      </c>
      <c r="E503" s="385">
        <v>4</v>
      </c>
      <c r="F503" s="386">
        <f aca="true" t="shared" si="18" ref="F503:F508">ROUND(I503*$I$8,2)</f>
        <v>2.4</v>
      </c>
      <c r="G503" s="387">
        <f aca="true" t="shared" si="19" ref="G503:G508">ROUND(E503*F503,2)</f>
        <v>9.6</v>
      </c>
      <c r="I503" s="386">
        <v>2.41</v>
      </c>
    </row>
    <row r="504" spans="1:9" s="272" customFormat="1" ht="12.75">
      <c r="A504" s="382" t="s">
        <v>220</v>
      </c>
      <c r="B504" s="389" t="s">
        <v>642</v>
      </c>
      <c r="C504" s="383" t="s">
        <v>646</v>
      </c>
      <c r="D504" s="384" t="s">
        <v>178</v>
      </c>
      <c r="E504" s="385">
        <v>9</v>
      </c>
      <c r="F504" s="386">
        <f t="shared" si="18"/>
        <v>6.58</v>
      </c>
      <c r="G504" s="387">
        <f t="shared" si="19"/>
        <v>59.22</v>
      </c>
      <c r="I504" s="386">
        <v>6.6</v>
      </c>
    </row>
    <row r="505" spans="1:9" s="272" customFormat="1" ht="12.75">
      <c r="A505" s="382" t="s">
        <v>220</v>
      </c>
      <c r="B505" s="389" t="s">
        <v>643</v>
      </c>
      <c r="C505" s="383" t="s">
        <v>647</v>
      </c>
      <c r="D505" s="384" t="s">
        <v>178</v>
      </c>
      <c r="E505" s="385">
        <v>3</v>
      </c>
      <c r="F505" s="386">
        <f t="shared" si="18"/>
        <v>5.29</v>
      </c>
      <c r="G505" s="387">
        <f t="shared" si="19"/>
        <v>15.87</v>
      </c>
      <c r="I505" s="386">
        <v>5.3</v>
      </c>
    </row>
    <row r="506" spans="1:9" s="272" customFormat="1" ht="12.75">
      <c r="A506" s="382" t="s">
        <v>220</v>
      </c>
      <c r="B506" s="389" t="s">
        <v>644</v>
      </c>
      <c r="C506" s="383" t="s">
        <v>648</v>
      </c>
      <c r="D506" s="384" t="s">
        <v>179</v>
      </c>
      <c r="E506" s="385">
        <v>1</v>
      </c>
      <c r="F506" s="386">
        <f t="shared" si="18"/>
        <v>57.23</v>
      </c>
      <c r="G506" s="387">
        <f t="shared" si="19"/>
        <v>57.23</v>
      </c>
      <c r="I506" s="386">
        <v>57.36</v>
      </c>
    </row>
    <row r="507" spans="1:9" s="272" customFormat="1" ht="25.5">
      <c r="A507" s="382" t="s">
        <v>99</v>
      </c>
      <c r="B507" s="389" t="s">
        <v>321</v>
      </c>
      <c r="C507" s="383" t="s">
        <v>300</v>
      </c>
      <c r="D507" s="384" t="s">
        <v>103</v>
      </c>
      <c r="E507" s="385">
        <v>9</v>
      </c>
      <c r="F507" s="386">
        <f>ROUND(I507*$J$8,2)</f>
        <v>16.9</v>
      </c>
      <c r="G507" s="387">
        <f t="shared" si="19"/>
        <v>152.1</v>
      </c>
      <c r="I507" s="386">
        <v>17.04</v>
      </c>
    </row>
    <row r="508" spans="1:9" s="272" customFormat="1" ht="12.75">
      <c r="A508" s="382" t="s">
        <v>99</v>
      </c>
      <c r="B508" s="389" t="s">
        <v>322</v>
      </c>
      <c r="C508" s="383" t="s">
        <v>299</v>
      </c>
      <c r="D508" s="384" t="s">
        <v>103</v>
      </c>
      <c r="E508" s="385">
        <v>9</v>
      </c>
      <c r="F508" s="386">
        <f>$F$120</f>
        <v>21.34</v>
      </c>
      <c r="G508" s="387">
        <f t="shared" si="19"/>
        <v>192.06</v>
      </c>
      <c r="I508" s="386">
        <v>21.52</v>
      </c>
    </row>
    <row r="509" spans="1:14" s="281" customFormat="1" ht="16.5" customHeight="1">
      <c r="A509" s="366" t="s">
        <v>485</v>
      </c>
      <c r="B509" s="365"/>
      <c r="C509" s="365"/>
      <c r="D509" s="365"/>
      <c r="E509" s="365"/>
      <c r="F509" s="364"/>
      <c r="G509" s="397">
        <f>SUM(G503:G506)</f>
        <v>141.92</v>
      </c>
      <c r="H509" s="376"/>
      <c r="I509" s="376"/>
      <c r="J509" s="376"/>
      <c r="K509" s="376"/>
      <c r="L509" s="376"/>
      <c r="M509" s="376"/>
      <c r="N509" s="376"/>
    </row>
    <row r="510" spans="1:14" s="281" customFormat="1" ht="16.5" customHeight="1">
      <c r="A510" s="366" t="s">
        <v>488</v>
      </c>
      <c r="B510" s="365"/>
      <c r="C510" s="365"/>
      <c r="D510" s="365"/>
      <c r="E510" s="365"/>
      <c r="F510" s="364"/>
      <c r="G510" s="397">
        <f>SUM(G507:G508)</f>
        <v>344.15999999999997</v>
      </c>
      <c r="H510" s="376"/>
      <c r="I510" s="376"/>
      <c r="J510" s="376"/>
      <c r="K510" s="376"/>
      <c r="L510" s="376"/>
      <c r="M510" s="376"/>
      <c r="N510" s="376"/>
    </row>
    <row r="511" spans="1:14" s="281" customFormat="1" ht="16.5" customHeight="1">
      <c r="A511" s="369" t="s">
        <v>486</v>
      </c>
      <c r="B511" s="368"/>
      <c r="C511" s="368"/>
      <c r="D511" s="368"/>
      <c r="E511" s="368"/>
      <c r="F511" s="367"/>
      <c r="G511" s="398">
        <f>SUM(G509:G510)</f>
        <v>486.0799999999999</v>
      </c>
      <c r="H511" s="394"/>
      <c r="I511" s="394"/>
      <c r="J511" s="394"/>
      <c r="K511" s="394"/>
      <c r="L511" s="394"/>
      <c r="M511" s="394"/>
      <c r="N511" s="394"/>
    </row>
    <row r="512" spans="1:14" s="281" customFormat="1" ht="16.5" customHeight="1">
      <c r="A512" s="366" t="s">
        <v>489</v>
      </c>
      <c r="B512" s="365"/>
      <c r="C512" s="365"/>
      <c r="D512" s="365"/>
      <c r="E512" s="365"/>
      <c r="F512" s="364"/>
      <c r="G512" s="397">
        <f>ROUND(G511*$H$8,2)</f>
        <v>142.28</v>
      </c>
      <c r="H512" s="376"/>
      <c r="I512" s="376"/>
      <c r="J512" s="376"/>
      <c r="K512" s="376"/>
      <c r="L512" s="376"/>
      <c r="M512" s="376"/>
      <c r="N512" s="376"/>
    </row>
    <row r="513" spans="1:14" s="281" customFormat="1" ht="16.5" customHeight="1">
      <c r="A513" s="369" t="s">
        <v>487</v>
      </c>
      <c r="B513" s="368"/>
      <c r="C513" s="368"/>
      <c r="D513" s="368"/>
      <c r="E513" s="368"/>
      <c r="F513" s="367"/>
      <c r="G513" s="398">
        <f>SUM(G511:G512)</f>
        <v>628.3599999999999</v>
      </c>
      <c r="H513" s="394"/>
      <c r="I513" s="394"/>
      <c r="J513" s="394"/>
      <c r="K513" s="394"/>
      <c r="L513" s="394"/>
      <c r="M513" s="394"/>
      <c r="N513" s="394"/>
    </row>
    <row r="514" spans="2:13" s="281" customFormat="1" ht="13.5">
      <c r="B514" s="284"/>
      <c r="E514" s="362"/>
      <c r="F514" s="362"/>
      <c r="G514" s="362"/>
      <c r="I514" s="362"/>
      <c r="J514" s="283"/>
      <c r="K514" s="282"/>
      <c r="L514" s="282"/>
      <c r="M514" s="282"/>
    </row>
    <row r="515" spans="1:9" s="272" customFormat="1" ht="44.25" customHeight="1">
      <c r="A515" s="390" t="str">
        <f>ORÇAMENTO!B63</f>
        <v>SINAPI</v>
      </c>
      <c r="B515" s="388" t="str">
        <f>ORÇAMENTO!C63</f>
        <v>101660</v>
      </c>
      <c r="C515" s="252" t="str">
        <f>ORÇAMENTO!D63</f>
        <v>LUMINÁRIA DE LED PARA ILUMINAÇÃO PÚBLICA, DE 240 W ATÉ 350 W - FORNECIMENTO E INSTALAÇÃO. AF_08/2020</v>
      </c>
      <c r="D515" s="252"/>
      <c r="E515" s="252"/>
      <c r="F515" s="391" t="s">
        <v>295</v>
      </c>
      <c r="G515" s="396" t="str">
        <f>ORÇAMENTO!E63</f>
        <v>UN</v>
      </c>
      <c r="H515" s="310">
        <f>ORÇAMENTO!L63</f>
        <v>1715.22</v>
      </c>
      <c r="I515" s="163" t="s">
        <v>295</v>
      </c>
    </row>
    <row r="516" spans="1:9" s="291" customFormat="1" ht="16.5" customHeight="1">
      <c r="A516" s="391" t="s">
        <v>296</v>
      </c>
      <c r="B516" s="392" t="s">
        <v>102</v>
      </c>
      <c r="C516" s="391" t="s">
        <v>36</v>
      </c>
      <c r="D516" s="399" t="s">
        <v>297</v>
      </c>
      <c r="E516" s="400" t="s">
        <v>26</v>
      </c>
      <c r="F516" s="393" t="s">
        <v>298</v>
      </c>
      <c r="G516" s="393" t="s">
        <v>10</v>
      </c>
      <c r="I516" s="393" t="s">
        <v>298</v>
      </c>
    </row>
    <row r="517" spans="1:9" s="272" customFormat="1" ht="63.75">
      <c r="A517" s="382" t="s">
        <v>99</v>
      </c>
      <c r="B517" s="389" t="s">
        <v>649</v>
      </c>
      <c r="C517" s="383" t="s">
        <v>650</v>
      </c>
      <c r="D517" s="384" t="s">
        <v>213</v>
      </c>
      <c r="E517" s="385">
        <v>0.2388</v>
      </c>
      <c r="F517" s="386">
        <f>ROUND(I517*$I$8,2)</f>
        <v>233.61</v>
      </c>
      <c r="G517" s="387">
        <f>ROUND(E517*F517,2)</f>
        <v>55.79</v>
      </c>
      <c r="I517" s="386">
        <v>234.15</v>
      </c>
    </row>
    <row r="518" spans="1:9" s="272" customFormat="1" ht="25.5">
      <c r="A518" s="382" t="s">
        <v>197</v>
      </c>
      <c r="B518" s="389" t="s">
        <v>651</v>
      </c>
      <c r="C518" s="383" t="s">
        <v>652</v>
      </c>
      <c r="D518" s="384" t="s">
        <v>214</v>
      </c>
      <c r="E518" s="385">
        <v>0.014</v>
      </c>
      <c r="F518" s="386">
        <f>ROUND(I518*$I$8,2)</f>
        <v>4.62</v>
      </c>
      <c r="G518" s="387">
        <f>ROUND(E518*F518,2)</f>
        <v>0.06</v>
      </c>
      <c r="I518" s="386">
        <v>4.63</v>
      </c>
    </row>
    <row r="519" spans="1:9" s="272" customFormat="1" ht="25.5">
      <c r="A519" s="382" t="s">
        <v>197</v>
      </c>
      <c r="B519" s="389" t="s">
        <v>653</v>
      </c>
      <c r="C519" s="383" t="s">
        <v>654</v>
      </c>
      <c r="D519" s="384" t="s">
        <v>214</v>
      </c>
      <c r="E519" s="385">
        <v>1</v>
      </c>
      <c r="F519" s="386">
        <f>ROUND(I519*$I$8,2)</f>
        <v>1646.28</v>
      </c>
      <c r="G519" s="387">
        <f>ROUND(E519*F519,2)</f>
        <v>1646.28</v>
      </c>
      <c r="I519" s="386">
        <v>1650.08</v>
      </c>
    </row>
    <row r="520" spans="1:9" s="272" customFormat="1" ht="25.5">
      <c r="A520" s="382" t="s">
        <v>99</v>
      </c>
      <c r="B520" s="389" t="s">
        <v>321</v>
      </c>
      <c r="C520" s="383" t="s">
        <v>300</v>
      </c>
      <c r="D520" s="384" t="s">
        <v>103</v>
      </c>
      <c r="E520" s="385">
        <v>0.2381</v>
      </c>
      <c r="F520" s="386">
        <f>ROUND(I520*$J$8,2)</f>
        <v>16.9</v>
      </c>
      <c r="G520" s="387">
        <f>ROUND(E520*F520,2)</f>
        <v>4.02</v>
      </c>
      <c r="I520" s="386">
        <v>17.04</v>
      </c>
    </row>
    <row r="521" spans="1:9" s="272" customFormat="1" ht="12.75">
      <c r="A521" s="382" t="s">
        <v>99</v>
      </c>
      <c r="B521" s="389" t="s">
        <v>322</v>
      </c>
      <c r="C521" s="383" t="s">
        <v>299</v>
      </c>
      <c r="D521" s="384" t="s">
        <v>103</v>
      </c>
      <c r="E521" s="385">
        <v>0.2381</v>
      </c>
      <c r="F521" s="386">
        <f>$F$120</f>
        <v>21.34</v>
      </c>
      <c r="G521" s="387">
        <f>ROUND(E521*F521,2)</f>
        <v>5.08</v>
      </c>
      <c r="I521" s="386">
        <v>21.52</v>
      </c>
    </row>
    <row r="522" spans="1:14" s="281" customFormat="1" ht="16.5" customHeight="1">
      <c r="A522" s="366" t="s">
        <v>485</v>
      </c>
      <c r="B522" s="365"/>
      <c r="C522" s="365"/>
      <c r="D522" s="365"/>
      <c r="E522" s="365"/>
      <c r="F522" s="364"/>
      <c r="G522" s="397">
        <f>SUM(G517:G519)</f>
        <v>1702.1299999999999</v>
      </c>
      <c r="H522" s="376"/>
      <c r="I522" s="376"/>
      <c r="J522" s="376"/>
      <c r="K522" s="376"/>
      <c r="L522" s="376"/>
      <c r="M522" s="376"/>
      <c r="N522" s="376"/>
    </row>
    <row r="523" spans="1:14" s="281" customFormat="1" ht="16.5" customHeight="1">
      <c r="A523" s="366" t="s">
        <v>488</v>
      </c>
      <c r="B523" s="365"/>
      <c r="C523" s="365"/>
      <c r="D523" s="365"/>
      <c r="E523" s="365"/>
      <c r="F523" s="364"/>
      <c r="G523" s="397">
        <f>SUM(G520:G521)</f>
        <v>9.1</v>
      </c>
      <c r="H523" s="376"/>
      <c r="I523" s="376"/>
      <c r="J523" s="376"/>
      <c r="K523" s="376"/>
      <c r="L523" s="376"/>
      <c r="M523" s="376"/>
      <c r="N523" s="376"/>
    </row>
    <row r="524" spans="1:14" s="281" customFormat="1" ht="16.5" customHeight="1">
      <c r="A524" s="369" t="s">
        <v>486</v>
      </c>
      <c r="B524" s="368"/>
      <c r="C524" s="368"/>
      <c r="D524" s="368"/>
      <c r="E524" s="368"/>
      <c r="F524" s="367"/>
      <c r="G524" s="398">
        <f>SUM(G522:G523)</f>
        <v>1711.2299999999998</v>
      </c>
      <c r="H524" s="394"/>
      <c r="I524" s="394"/>
      <c r="J524" s="394"/>
      <c r="K524" s="394"/>
      <c r="L524" s="394"/>
      <c r="M524" s="394"/>
      <c r="N524" s="394"/>
    </row>
    <row r="525" spans="1:14" s="281" customFormat="1" ht="16.5" customHeight="1">
      <c r="A525" s="366" t="s">
        <v>489</v>
      </c>
      <c r="B525" s="365"/>
      <c r="C525" s="365"/>
      <c r="D525" s="365"/>
      <c r="E525" s="365"/>
      <c r="F525" s="364"/>
      <c r="G525" s="397">
        <f>ROUND(G524*$H$8,2)</f>
        <v>500.88</v>
      </c>
      <c r="H525" s="376"/>
      <c r="I525" s="376"/>
      <c r="J525" s="376"/>
      <c r="K525" s="376"/>
      <c r="L525" s="376"/>
      <c r="M525" s="376"/>
      <c r="N525" s="376"/>
    </row>
    <row r="526" spans="1:14" s="281" customFormat="1" ht="16.5" customHeight="1">
      <c r="A526" s="369" t="s">
        <v>487</v>
      </c>
      <c r="B526" s="368"/>
      <c r="C526" s="368"/>
      <c r="D526" s="368"/>
      <c r="E526" s="368"/>
      <c r="F526" s="367"/>
      <c r="G526" s="398">
        <f>SUM(G524:G525)</f>
        <v>2212.1099999999997</v>
      </c>
      <c r="H526" s="394"/>
      <c r="I526" s="394"/>
      <c r="J526" s="394"/>
      <c r="K526" s="394"/>
      <c r="L526" s="394"/>
      <c r="M526" s="394"/>
      <c r="N526" s="394"/>
    </row>
    <row r="527" spans="2:13" s="281" customFormat="1" ht="13.5">
      <c r="B527" s="284"/>
      <c r="E527" s="362"/>
      <c r="F527" s="362"/>
      <c r="G527" s="362"/>
      <c r="I527" s="362"/>
      <c r="J527" s="283"/>
      <c r="K527" s="282"/>
      <c r="L527" s="282"/>
      <c r="M527" s="282"/>
    </row>
    <row r="528" spans="1:9" s="272" customFormat="1" ht="44.25" customHeight="1">
      <c r="A528" s="390" t="str">
        <f>ORÇAMENTO!B64</f>
        <v>SINAPI</v>
      </c>
      <c r="B528" s="388" t="str">
        <f>ORÇAMENTO!C64</f>
        <v>101632</v>
      </c>
      <c r="C528" s="252" t="str">
        <f>ORÇAMENTO!D64</f>
        <v>RELÉ FOTOELÉTRICO PARA COMANDO DE ILUMINAÇÃO EXTERNA 1000 W - FORNECIMENTO E INSTALAÇÃO. AF_08/2020</v>
      </c>
      <c r="D528" s="252"/>
      <c r="E528" s="252"/>
      <c r="F528" s="391" t="s">
        <v>295</v>
      </c>
      <c r="G528" s="396" t="str">
        <f>ORÇAMENTO!E64</f>
        <v>UN</v>
      </c>
      <c r="H528" s="310">
        <f>ORÇAMENTO!L64</f>
        <v>54.13</v>
      </c>
      <c r="I528" s="163" t="s">
        <v>295</v>
      </c>
    </row>
    <row r="529" spans="1:9" s="291" customFormat="1" ht="16.5" customHeight="1">
      <c r="A529" s="391" t="s">
        <v>296</v>
      </c>
      <c r="B529" s="392" t="s">
        <v>102</v>
      </c>
      <c r="C529" s="391" t="s">
        <v>36</v>
      </c>
      <c r="D529" s="399" t="s">
        <v>297</v>
      </c>
      <c r="E529" s="400" t="s">
        <v>26</v>
      </c>
      <c r="F529" s="393" t="s">
        <v>298</v>
      </c>
      <c r="G529" s="393" t="s">
        <v>10</v>
      </c>
      <c r="I529" s="393" t="s">
        <v>298</v>
      </c>
    </row>
    <row r="530" spans="1:9" s="272" customFormat="1" ht="25.5">
      <c r="A530" s="382" t="s">
        <v>197</v>
      </c>
      <c r="B530" s="389" t="s">
        <v>655</v>
      </c>
      <c r="C530" s="383" t="s">
        <v>656</v>
      </c>
      <c r="D530" s="384" t="s">
        <v>214</v>
      </c>
      <c r="E530" s="385">
        <v>1</v>
      </c>
      <c r="F530" s="386">
        <f>ROUND(I530*$I$8,2)</f>
        <v>53.28</v>
      </c>
      <c r="G530" s="387">
        <f>ROUND(E530*F530,2)</f>
        <v>53.28</v>
      </c>
      <c r="I530" s="386">
        <v>53.4</v>
      </c>
    </row>
    <row r="531" spans="1:9" s="272" customFormat="1" ht="25.5">
      <c r="A531" s="382" t="s">
        <v>197</v>
      </c>
      <c r="B531" s="389" t="s">
        <v>651</v>
      </c>
      <c r="C531" s="383" t="s">
        <v>652</v>
      </c>
      <c r="D531" s="384" t="s">
        <v>214</v>
      </c>
      <c r="E531" s="385">
        <v>0.021</v>
      </c>
      <c r="F531" s="386">
        <f>ROUND(I531*$I$8,2)</f>
        <v>4.62</v>
      </c>
      <c r="G531" s="387">
        <f>ROUND(E531*F531,2)</f>
        <v>0.1</v>
      </c>
      <c r="I531" s="386">
        <v>4.63</v>
      </c>
    </row>
    <row r="532" spans="1:9" s="272" customFormat="1" ht="25.5">
      <c r="A532" s="382" t="s">
        <v>99</v>
      </c>
      <c r="B532" s="389" t="s">
        <v>321</v>
      </c>
      <c r="C532" s="383" t="s">
        <v>300</v>
      </c>
      <c r="D532" s="384" t="s">
        <v>103</v>
      </c>
      <c r="E532" s="385">
        <v>0.0168</v>
      </c>
      <c r="F532" s="386">
        <f>ROUND(I532*$J$8,2)</f>
        <v>16.9</v>
      </c>
      <c r="G532" s="387">
        <f>ROUND(E532*F532,2)</f>
        <v>0.28</v>
      </c>
      <c r="I532" s="386">
        <v>17.04</v>
      </c>
    </row>
    <row r="533" spans="1:9" s="272" customFormat="1" ht="12.75">
      <c r="A533" s="382" t="s">
        <v>99</v>
      </c>
      <c r="B533" s="389" t="s">
        <v>322</v>
      </c>
      <c r="C533" s="383" t="s">
        <v>299</v>
      </c>
      <c r="D533" s="384" t="s">
        <v>103</v>
      </c>
      <c r="E533" s="385">
        <v>0.0168</v>
      </c>
      <c r="F533" s="386">
        <f>$F$120</f>
        <v>21.34</v>
      </c>
      <c r="G533" s="387">
        <f>ROUND(E533*F533,2)</f>
        <v>0.36</v>
      </c>
      <c r="I533" s="386">
        <v>21.52</v>
      </c>
    </row>
    <row r="534" spans="1:14" s="281" customFormat="1" ht="16.5" customHeight="1">
      <c r="A534" s="366" t="s">
        <v>485</v>
      </c>
      <c r="B534" s="365"/>
      <c r="C534" s="365"/>
      <c r="D534" s="365"/>
      <c r="E534" s="365"/>
      <c r="F534" s="364"/>
      <c r="G534" s="397">
        <f>SUM(G530:G531)</f>
        <v>53.38</v>
      </c>
      <c r="H534" s="376"/>
      <c r="I534" s="376"/>
      <c r="J534" s="376"/>
      <c r="K534" s="376"/>
      <c r="L534" s="376"/>
      <c r="M534" s="376"/>
      <c r="N534" s="376"/>
    </row>
    <row r="535" spans="1:14" s="281" customFormat="1" ht="16.5" customHeight="1">
      <c r="A535" s="366" t="s">
        <v>488</v>
      </c>
      <c r="B535" s="365"/>
      <c r="C535" s="365"/>
      <c r="D535" s="365"/>
      <c r="E535" s="365"/>
      <c r="F535" s="364"/>
      <c r="G535" s="397">
        <f>SUM(G532:G533)</f>
        <v>0.64</v>
      </c>
      <c r="H535" s="376"/>
      <c r="I535" s="376"/>
      <c r="J535" s="376"/>
      <c r="K535" s="376"/>
      <c r="L535" s="376"/>
      <c r="M535" s="376"/>
      <c r="N535" s="376"/>
    </row>
    <row r="536" spans="1:14" s="281" customFormat="1" ht="16.5" customHeight="1">
      <c r="A536" s="369" t="s">
        <v>486</v>
      </c>
      <c r="B536" s="368"/>
      <c r="C536" s="368"/>
      <c r="D536" s="368"/>
      <c r="E536" s="368"/>
      <c r="F536" s="367"/>
      <c r="G536" s="398">
        <f>SUM(G534:G535)</f>
        <v>54.02</v>
      </c>
      <c r="H536" s="394"/>
      <c r="I536" s="394"/>
      <c r="J536" s="394"/>
      <c r="K536" s="394"/>
      <c r="L536" s="394"/>
      <c r="M536" s="394"/>
      <c r="N536" s="394"/>
    </row>
    <row r="537" spans="1:14" s="281" customFormat="1" ht="16.5" customHeight="1">
      <c r="A537" s="366" t="s">
        <v>489</v>
      </c>
      <c r="B537" s="365"/>
      <c r="C537" s="365"/>
      <c r="D537" s="365"/>
      <c r="E537" s="365"/>
      <c r="F537" s="364"/>
      <c r="G537" s="397">
        <f>ROUND(G536*$H$8,2)</f>
        <v>15.81</v>
      </c>
      <c r="H537" s="376"/>
      <c r="I537" s="376"/>
      <c r="J537" s="376"/>
      <c r="K537" s="376"/>
      <c r="L537" s="376"/>
      <c r="M537" s="376"/>
      <c r="N537" s="376"/>
    </row>
    <row r="538" spans="1:14" s="281" customFormat="1" ht="16.5" customHeight="1">
      <c r="A538" s="369" t="s">
        <v>487</v>
      </c>
      <c r="B538" s="368"/>
      <c r="C538" s="368"/>
      <c r="D538" s="368"/>
      <c r="E538" s="368"/>
      <c r="F538" s="367"/>
      <c r="G538" s="398">
        <f>SUM(G536:G537)</f>
        <v>69.83</v>
      </c>
      <c r="H538" s="394"/>
      <c r="I538" s="394"/>
      <c r="J538" s="394"/>
      <c r="K538" s="394"/>
      <c r="L538" s="394"/>
      <c r="M538" s="394"/>
      <c r="N538" s="394"/>
    </row>
    <row r="539" spans="2:13" s="281" customFormat="1" ht="13.5">
      <c r="B539" s="284"/>
      <c r="E539" s="362"/>
      <c r="F539" s="362"/>
      <c r="G539" s="362"/>
      <c r="I539" s="362"/>
      <c r="J539" s="283"/>
      <c r="K539" s="282"/>
      <c r="L539" s="282"/>
      <c r="M539" s="282"/>
    </row>
    <row r="540" spans="1:9" s="272" customFormat="1" ht="44.25" customHeight="1">
      <c r="A540" s="390" t="str">
        <f>ORÇAMENTO!B65</f>
        <v>CPU</v>
      </c>
      <c r="B540" s="388" t="str">
        <f>ORÇAMENTO!C65</f>
        <v>17</v>
      </c>
      <c r="C540" s="252" t="str">
        <f>ORÇAMENTO!D65</f>
        <v>POSTE DECORATIVO PARA JARDIM EM AÇO TUBULAR, H = *2,5* M, COM LUMINÁRIA LED TIPO GLOBO - FORNECIMENTO E INSTALAÇÃO. AF_11/2019</v>
      </c>
      <c r="D540" s="252"/>
      <c r="E540" s="252"/>
      <c r="F540" s="391" t="s">
        <v>295</v>
      </c>
      <c r="G540" s="396" t="str">
        <f>ORÇAMENTO!E65</f>
        <v>UN    </v>
      </c>
      <c r="H540" s="310">
        <f>ORÇAMENTO!L65</f>
        <v>756.46</v>
      </c>
      <c r="I540" s="163" t="s">
        <v>295</v>
      </c>
    </row>
    <row r="541" spans="1:9" s="291" customFormat="1" ht="16.5" customHeight="1">
      <c r="A541" s="391" t="s">
        <v>296</v>
      </c>
      <c r="B541" s="392" t="s">
        <v>102</v>
      </c>
      <c r="C541" s="391" t="s">
        <v>36</v>
      </c>
      <c r="D541" s="399" t="s">
        <v>297</v>
      </c>
      <c r="E541" s="400" t="s">
        <v>26</v>
      </c>
      <c r="F541" s="393" t="s">
        <v>298</v>
      </c>
      <c r="G541" s="393" t="s">
        <v>10</v>
      </c>
      <c r="I541" s="393" t="s">
        <v>298</v>
      </c>
    </row>
    <row r="542" spans="1:9" ht="38.25">
      <c r="A542" s="164" t="s">
        <v>99</v>
      </c>
      <c r="B542" s="165" t="s">
        <v>317</v>
      </c>
      <c r="C542" s="166" t="s">
        <v>318</v>
      </c>
      <c r="D542" s="167" t="s">
        <v>179</v>
      </c>
      <c r="E542" s="168">
        <v>1</v>
      </c>
      <c r="F542" s="386">
        <f>ROUND(I542*$I$8,2)</f>
        <v>611.35</v>
      </c>
      <c r="G542" s="169">
        <f>ROUND(E542*F542,2)</f>
        <v>611.35</v>
      </c>
      <c r="I542" s="386">
        <v>612.76</v>
      </c>
    </row>
    <row r="543" spans="1:9" ht="89.25">
      <c r="A543" s="164" t="s">
        <v>197</v>
      </c>
      <c r="B543" s="165" t="s">
        <v>319</v>
      </c>
      <c r="C543" s="166" t="s">
        <v>320</v>
      </c>
      <c r="D543" s="167" t="s">
        <v>214</v>
      </c>
      <c r="E543" s="168">
        <v>2</v>
      </c>
      <c r="F543" s="386">
        <f>ROUND(I543*$I$8,2)</f>
        <v>71.68</v>
      </c>
      <c r="G543" s="169">
        <f>ROUND(E543*F543,2)</f>
        <v>143.36</v>
      </c>
      <c r="I543" s="386">
        <v>71.85</v>
      </c>
    </row>
    <row r="544" spans="1:14" s="281" customFormat="1" ht="16.5" customHeight="1">
      <c r="A544" s="366" t="s">
        <v>485</v>
      </c>
      <c r="B544" s="365"/>
      <c r="C544" s="365"/>
      <c r="D544" s="365"/>
      <c r="E544" s="365"/>
      <c r="F544" s="364"/>
      <c r="G544" s="397">
        <f>ROUND(SUM(G543)+(G542*0.6),2)</f>
        <v>510.17</v>
      </c>
      <c r="H544" s="376"/>
      <c r="I544" s="376"/>
      <c r="K544" s="376"/>
      <c r="L544" s="376"/>
      <c r="M544" s="376"/>
      <c r="N544" s="376"/>
    </row>
    <row r="545" spans="1:14" s="281" customFormat="1" ht="16.5" customHeight="1">
      <c r="A545" s="366" t="s">
        <v>488</v>
      </c>
      <c r="B545" s="365"/>
      <c r="C545" s="365"/>
      <c r="D545" s="365"/>
      <c r="E545" s="365"/>
      <c r="F545" s="364"/>
      <c r="G545" s="397">
        <f>G542*0.4</f>
        <v>244.54000000000002</v>
      </c>
      <c r="H545" s="376"/>
      <c r="I545" s="376"/>
      <c r="J545" s="376"/>
      <c r="K545" s="376"/>
      <c r="L545" s="376"/>
      <c r="M545" s="376"/>
      <c r="N545" s="376"/>
    </row>
    <row r="546" spans="1:14" s="281" customFormat="1" ht="16.5" customHeight="1">
      <c r="A546" s="369" t="s">
        <v>486</v>
      </c>
      <c r="B546" s="368"/>
      <c r="C546" s="368"/>
      <c r="D546" s="368"/>
      <c r="E546" s="368"/>
      <c r="F546" s="367"/>
      <c r="G546" s="398">
        <f>SUM(G544:G545)</f>
        <v>754.71</v>
      </c>
      <c r="H546" s="394"/>
      <c r="I546" s="394"/>
      <c r="J546" s="394"/>
      <c r="K546" s="394"/>
      <c r="L546" s="394"/>
      <c r="M546" s="394"/>
      <c r="N546" s="394"/>
    </row>
    <row r="547" spans="1:14" s="281" customFormat="1" ht="16.5" customHeight="1">
      <c r="A547" s="366" t="s">
        <v>489</v>
      </c>
      <c r="B547" s="365"/>
      <c r="C547" s="365"/>
      <c r="D547" s="365"/>
      <c r="E547" s="365"/>
      <c r="F547" s="364"/>
      <c r="G547" s="397">
        <f>ROUND(G546*$H$8,2)</f>
        <v>220.9</v>
      </c>
      <c r="H547" s="376"/>
      <c r="I547" s="376"/>
      <c r="J547" s="376"/>
      <c r="K547" s="376"/>
      <c r="L547" s="376"/>
      <c r="M547" s="376"/>
      <c r="N547" s="376"/>
    </row>
    <row r="548" spans="1:14" s="281" customFormat="1" ht="16.5" customHeight="1">
      <c r="A548" s="369" t="s">
        <v>487</v>
      </c>
      <c r="B548" s="368"/>
      <c r="C548" s="368"/>
      <c r="D548" s="368"/>
      <c r="E548" s="368"/>
      <c r="F548" s="367"/>
      <c r="G548" s="398">
        <f>SUM(G546:G547)</f>
        <v>975.61</v>
      </c>
      <c r="H548" s="394"/>
      <c r="I548" s="394"/>
      <c r="J548" s="394"/>
      <c r="K548" s="394"/>
      <c r="L548" s="394"/>
      <c r="M548" s="394"/>
      <c r="N548" s="394"/>
    </row>
    <row r="549" spans="2:13" s="124" customFormat="1" ht="15" customHeight="1">
      <c r="B549" s="142"/>
      <c r="E549" s="204"/>
      <c r="F549" s="204"/>
      <c r="G549" s="204"/>
      <c r="I549" s="281"/>
      <c r="J549" s="133"/>
      <c r="K549" s="132"/>
      <c r="L549" s="132"/>
      <c r="M549" s="132"/>
    </row>
    <row r="550" spans="1:9" s="272" customFormat="1" ht="44.25" customHeight="1">
      <c r="A550" s="390" t="str">
        <f>ORÇAMENTO!B66</f>
        <v>CPU</v>
      </c>
      <c r="B550" s="388" t="str">
        <f>ORÇAMENTO!C66</f>
        <v>15</v>
      </c>
      <c r="C550" s="252" t="str">
        <f>ORÇAMENTO!D66</f>
        <v>LUMINARIA LED REFLETOR RETANGULAR BIVOLT, LUZ BRANCA, 30 W - FORNECIMENTO E INSTALAÇÃO. </v>
      </c>
      <c r="D550" s="252"/>
      <c r="E550" s="252"/>
      <c r="F550" s="391" t="s">
        <v>295</v>
      </c>
      <c r="G550" s="396" t="str">
        <f>ORÇAMENTO!E66</f>
        <v>UN    </v>
      </c>
      <c r="H550" s="310">
        <f>ORÇAMENTO!L66</f>
        <v>59.79</v>
      </c>
      <c r="I550" s="163" t="s">
        <v>295</v>
      </c>
    </row>
    <row r="551" spans="1:9" s="291" customFormat="1" ht="16.5" customHeight="1">
      <c r="A551" s="391" t="s">
        <v>296</v>
      </c>
      <c r="B551" s="392" t="s">
        <v>102</v>
      </c>
      <c r="C551" s="391" t="s">
        <v>36</v>
      </c>
      <c r="D551" s="399" t="s">
        <v>297</v>
      </c>
      <c r="E551" s="400" t="s">
        <v>26</v>
      </c>
      <c r="F551" s="393" t="s">
        <v>298</v>
      </c>
      <c r="G551" s="393" t="s">
        <v>10</v>
      </c>
      <c r="I551" s="393" t="s">
        <v>298</v>
      </c>
    </row>
    <row r="552" spans="1:9" ht="25.5">
      <c r="A552" s="164" t="s">
        <v>197</v>
      </c>
      <c r="B552" s="165" t="s">
        <v>325</v>
      </c>
      <c r="C552" s="166" t="s">
        <v>326</v>
      </c>
      <c r="D552" s="167" t="s">
        <v>214</v>
      </c>
      <c r="E552" s="168">
        <v>1</v>
      </c>
      <c r="F552" s="386">
        <f>ROUND(I552*$I$8,2)</f>
        <v>52.14</v>
      </c>
      <c r="G552" s="169">
        <f>ROUND(E552*F552,2)</f>
        <v>52.14</v>
      </c>
      <c r="I552" s="386">
        <v>52.26</v>
      </c>
    </row>
    <row r="553" spans="1:9" ht="25.5">
      <c r="A553" s="164" t="s">
        <v>99</v>
      </c>
      <c r="B553" s="165" t="s">
        <v>321</v>
      </c>
      <c r="C553" s="166" t="s">
        <v>300</v>
      </c>
      <c r="D553" s="167" t="s">
        <v>103</v>
      </c>
      <c r="E553" s="168">
        <v>0.1</v>
      </c>
      <c r="F553" s="386">
        <f>ROUND(I553*$J$8,2)</f>
        <v>16.9</v>
      </c>
      <c r="G553" s="169">
        <f>ROUND(E553*F553,2)</f>
        <v>1.69</v>
      </c>
      <c r="I553" s="386">
        <v>17.04</v>
      </c>
    </row>
    <row r="554" spans="1:9" ht="12.75">
      <c r="A554" s="164" t="s">
        <v>99</v>
      </c>
      <c r="B554" s="165" t="s">
        <v>322</v>
      </c>
      <c r="C554" s="166" t="s">
        <v>299</v>
      </c>
      <c r="D554" s="167" t="s">
        <v>103</v>
      </c>
      <c r="E554" s="168">
        <v>0.1</v>
      </c>
      <c r="F554" s="386">
        <f>$F$120</f>
        <v>21.34</v>
      </c>
      <c r="G554" s="169">
        <f>ROUND(E554*F554,2)</f>
        <v>2.13</v>
      </c>
      <c r="I554" s="386">
        <v>21.52</v>
      </c>
    </row>
    <row r="555" spans="1:9" ht="25.5">
      <c r="A555" s="164" t="s">
        <v>197</v>
      </c>
      <c r="B555" s="165" t="s">
        <v>323</v>
      </c>
      <c r="C555" s="166" t="s">
        <v>324</v>
      </c>
      <c r="D555" s="167" t="s">
        <v>214</v>
      </c>
      <c r="E555" s="168">
        <v>0.3</v>
      </c>
      <c r="F555" s="386">
        <f>ROUND(I555*$I$8,2)</f>
        <v>12.22</v>
      </c>
      <c r="G555" s="169">
        <f>ROUND(E555*F555,2)</f>
        <v>3.67</v>
      </c>
      <c r="I555" s="386">
        <v>12.25</v>
      </c>
    </row>
    <row r="556" spans="1:14" s="281" customFormat="1" ht="16.5" customHeight="1">
      <c r="A556" s="366" t="s">
        <v>485</v>
      </c>
      <c r="B556" s="365"/>
      <c r="C556" s="365"/>
      <c r="D556" s="365"/>
      <c r="E556" s="365"/>
      <c r="F556" s="364"/>
      <c r="G556" s="397">
        <f>SUM(G552,G555)</f>
        <v>55.81</v>
      </c>
      <c r="H556" s="376"/>
      <c r="I556" s="376"/>
      <c r="K556" s="376"/>
      <c r="L556" s="376"/>
      <c r="M556" s="376"/>
      <c r="N556" s="376"/>
    </row>
    <row r="557" spans="1:14" s="281" customFormat="1" ht="16.5" customHeight="1">
      <c r="A557" s="366" t="s">
        <v>488</v>
      </c>
      <c r="B557" s="365"/>
      <c r="C557" s="365"/>
      <c r="D557" s="365"/>
      <c r="E557" s="365"/>
      <c r="F557" s="364"/>
      <c r="G557" s="397">
        <f>SUM(G553:G554)</f>
        <v>3.82</v>
      </c>
      <c r="H557" s="376"/>
      <c r="I557" s="376"/>
      <c r="J557" s="376"/>
      <c r="K557" s="376"/>
      <c r="L557" s="376"/>
      <c r="M557" s="376"/>
      <c r="N557" s="376"/>
    </row>
    <row r="558" spans="1:14" s="281" customFormat="1" ht="16.5" customHeight="1">
      <c r="A558" s="369" t="s">
        <v>486</v>
      </c>
      <c r="B558" s="368"/>
      <c r="C558" s="368"/>
      <c r="D558" s="368"/>
      <c r="E558" s="368"/>
      <c r="F558" s="367"/>
      <c r="G558" s="398">
        <f>SUM(G556:G557)</f>
        <v>59.63</v>
      </c>
      <c r="H558" s="394"/>
      <c r="I558" s="394"/>
      <c r="J558" s="394"/>
      <c r="K558" s="394"/>
      <c r="L558" s="394"/>
      <c r="M558" s="394"/>
      <c r="N558" s="394"/>
    </row>
    <row r="559" spans="1:14" s="281" customFormat="1" ht="16.5" customHeight="1">
      <c r="A559" s="366" t="s">
        <v>489</v>
      </c>
      <c r="B559" s="365"/>
      <c r="C559" s="365"/>
      <c r="D559" s="365"/>
      <c r="E559" s="365"/>
      <c r="F559" s="364"/>
      <c r="G559" s="397">
        <f>ROUND(G558*$H$8,2)</f>
        <v>17.45</v>
      </c>
      <c r="H559" s="376"/>
      <c r="I559" s="376"/>
      <c r="J559" s="376"/>
      <c r="K559" s="376"/>
      <c r="L559" s="376"/>
      <c r="M559" s="376"/>
      <c r="N559" s="376"/>
    </row>
    <row r="560" spans="1:14" s="281" customFormat="1" ht="16.5" customHeight="1">
      <c r="A560" s="369" t="s">
        <v>487</v>
      </c>
      <c r="B560" s="368"/>
      <c r="C560" s="368"/>
      <c r="D560" s="368"/>
      <c r="E560" s="368"/>
      <c r="F560" s="367"/>
      <c r="G560" s="398">
        <f>SUM(G558:G559)</f>
        <v>77.08</v>
      </c>
      <c r="H560" s="394"/>
      <c r="I560" s="394"/>
      <c r="J560" s="394"/>
      <c r="K560" s="394"/>
      <c r="L560" s="394"/>
      <c r="M560" s="394"/>
      <c r="N560" s="394"/>
    </row>
    <row r="561" spans="2:13" s="124" customFormat="1" ht="15" customHeight="1">
      <c r="B561" s="142"/>
      <c r="E561" s="204"/>
      <c r="F561" s="204"/>
      <c r="G561" s="204"/>
      <c r="I561" s="281"/>
      <c r="J561" s="133"/>
      <c r="K561" s="132"/>
      <c r="L561" s="132"/>
      <c r="M561" s="132"/>
    </row>
    <row r="562" spans="1:9" s="272" customFormat="1" ht="44.25" customHeight="1">
      <c r="A562" s="390" t="str">
        <f>ORÇAMENTO!B67</f>
        <v>SINAPI</v>
      </c>
      <c r="B562" s="388" t="str">
        <f>ORÇAMENTO!C67</f>
        <v>101560</v>
      </c>
      <c r="C562" s="252" t="str">
        <f>ORÇAMENTO!D67</f>
        <v>CABO DE COBRE FLEXÍVEL ISOLADO, 10 MM², 0,6/1,0 KV, PARA REDE AÉREA DE DISTRIBUIÇÃO DE ENERGIA ELÉTRICA DE BAIXA TENSÃO - FORNECIMENTO E INSTALAÇÃO. AF_07/2020</v>
      </c>
      <c r="D562" s="252"/>
      <c r="E562" s="252"/>
      <c r="F562" s="391" t="s">
        <v>295</v>
      </c>
      <c r="G562" s="396" t="str">
        <f>ORÇAMENTO!E67</f>
        <v>M</v>
      </c>
      <c r="H562" s="310">
        <f>ORÇAMENTO!L67</f>
        <v>12.22</v>
      </c>
      <c r="I562" s="163" t="s">
        <v>295</v>
      </c>
    </row>
    <row r="563" spans="1:9" s="291" customFormat="1" ht="16.5" customHeight="1">
      <c r="A563" s="391" t="s">
        <v>296</v>
      </c>
      <c r="B563" s="392" t="s">
        <v>102</v>
      </c>
      <c r="C563" s="391" t="s">
        <v>36</v>
      </c>
      <c r="D563" s="399" t="s">
        <v>297</v>
      </c>
      <c r="E563" s="400" t="s">
        <v>26</v>
      </c>
      <c r="F563" s="393" t="s">
        <v>298</v>
      </c>
      <c r="G563" s="393" t="s">
        <v>10</v>
      </c>
      <c r="I563" s="393" t="s">
        <v>298</v>
      </c>
    </row>
    <row r="564" spans="1:9" s="272" customFormat="1" ht="51">
      <c r="A564" s="382" t="s">
        <v>197</v>
      </c>
      <c r="B564" s="389" t="s">
        <v>657</v>
      </c>
      <c r="C564" s="383" t="s">
        <v>658</v>
      </c>
      <c r="D564" s="384" t="s">
        <v>304</v>
      </c>
      <c r="E564" s="385">
        <v>1.0401</v>
      </c>
      <c r="F564" s="386">
        <f>ROUND(I564*$I$8,2)</f>
        <v>11.67</v>
      </c>
      <c r="G564" s="387">
        <f>ROUND(E564*F564,2)</f>
        <v>12.14</v>
      </c>
      <c r="I564" s="386">
        <v>11.7</v>
      </c>
    </row>
    <row r="565" spans="1:9" s="272" customFormat="1" ht="12.75">
      <c r="A565" s="382" t="s">
        <v>99</v>
      </c>
      <c r="B565" s="389" t="s">
        <v>322</v>
      </c>
      <c r="C565" s="383" t="s">
        <v>299</v>
      </c>
      <c r="D565" s="384" t="s">
        <v>103</v>
      </c>
      <c r="E565" s="385">
        <v>0.0029</v>
      </c>
      <c r="F565" s="386">
        <f>$F$120</f>
        <v>21.34</v>
      </c>
      <c r="G565" s="387">
        <f>ROUND(E565*F565,2)</f>
        <v>0.06</v>
      </c>
      <c r="I565" s="386">
        <v>21.52</v>
      </c>
    </row>
    <row r="566" spans="1:14" s="281" customFormat="1" ht="16.5" customHeight="1">
      <c r="A566" s="366" t="s">
        <v>485</v>
      </c>
      <c r="B566" s="365"/>
      <c r="C566" s="365"/>
      <c r="D566" s="365"/>
      <c r="E566" s="365"/>
      <c r="F566" s="364"/>
      <c r="G566" s="397">
        <f>SUM(G564)</f>
        <v>12.14</v>
      </c>
      <c r="H566" s="376"/>
      <c r="I566" s="376"/>
      <c r="J566" s="376"/>
      <c r="K566" s="376"/>
      <c r="L566" s="376"/>
      <c r="M566" s="376"/>
      <c r="N566" s="376"/>
    </row>
    <row r="567" spans="1:14" s="281" customFormat="1" ht="16.5" customHeight="1">
      <c r="A567" s="366" t="s">
        <v>488</v>
      </c>
      <c r="B567" s="365"/>
      <c r="C567" s="365"/>
      <c r="D567" s="365"/>
      <c r="E567" s="365"/>
      <c r="F567" s="364"/>
      <c r="G567" s="397">
        <f>SUM(G565)</f>
        <v>0.06</v>
      </c>
      <c r="H567" s="376"/>
      <c r="I567" s="376"/>
      <c r="J567" s="376"/>
      <c r="K567" s="376"/>
      <c r="L567" s="376"/>
      <c r="M567" s="376"/>
      <c r="N567" s="376"/>
    </row>
    <row r="568" spans="1:14" s="281" customFormat="1" ht="16.5" customHeight="1">
      <c r="A568" s="369" t="s">
        <v>486</v>
      </c>
      <c r="B568" s="368"/>
      <c r="C568" s="368"/>
      <c r="D568" s="368"/>
      <c r="E568" s="368"/>
      <c r="F568" s="367"/>
      <c r="G568" s="398">
        <f>SUM(G566:G567)</f>
        <v>12.200000000000001</v>
      </c>
      <c r="H568" s="394"/>
      <c r="I568" s="394"/>
      <c r="J568" s="394"/>
      <c r="K568" s="394"/>
      <c r="L568" s="394"/>
      <c r="M568" s="394"/>
      <c r="N568" s="394"/>
    </row>
    <row r="569" spans="1:14" s="281" customFormat="1" ht="16.5" customHeight="1">
      <c r="A569" s="366" t="s">
        <v>489</v>
      </c>
      <c r="B569" s="365"/>
      <c r="C569" s="365"/>
      <c r="D569" s="365"/>
      <c r="E569" s="365"/>
      <c r="F569" s="364"/>
      <c r="G569" s="397">
        <f>ROUND(G568*$H$8,2)</f>
        <v>3.57</v>
      </c>
      <c r="H569" s="376"/>
      <c r="I569" s="376"/>
      <c r="J569" s="376"/>
      <c r="K569" s="376"/>
      <c r="L569" s="376"/>
      <c r="M569" s="376"/>
      <c r="N569" s="376"/>
    </row>
    <row r="570" spans="1:14" s="281" customFormat="1" ht="16.5" customHeight="1">
      <c r="A570" s="369" t="s">
        <v>487</v>
      </c>
      <c r="B570" s="368"/>
      <c r="C570" s="368"/>
      <c r="D570" s="368"/>
      <c r="E570" s="368"/>
      <c r="F570" s="367"/>
      <c r="G570" s="398">
        <f>SUM(G568:G569)</f>
        <v>15.770000000000001</v>
      </c>
      <c r="H570" s="394"/>
      <c r="I570" s="394"/>
      <c r="J570" s="394"/>
      <c r="K570" s="394"/>
      <c r="L570" s="394"/>
      <c r="M570" s="394"/>
      <c r="N570" s="394"/>
    </row>
    <row r="571" spans="2:13" s="281" customFormat="1" ht="13.5">
      <c r="B571" s="284"/>
      <c r="E571" s="362"/>
      <c r="F571" s="362"/>
      <c r="G571" s="362"/>
      <c r="I571" s="362"/>
      <c r="J571" s="283"/>
      <c r="K571" s="282"/>
      <c r="L571" s="282"/>
      <c r="M571" s="282"/>
    </row>
    <row r="572" spans="1:9" s="272" customFormat="1" ht="44.25" customHeight="1">
      <c r="A572" s="390" t="str">
        <f>ORÇAMENTO!B68</f>
        <v>SINAPI</v>
      </c>
      <c r="B572" s="388" t="str">
        <f>ORÇAMENTO!C68</f>
        <v>91870</v>
      </c>
      <c r="C572" s="252" t="str">
        <f>ORÇAMENTO!D68</f>
        <v>ELETRODUTO RÍGIDO ROSCÁVEL, PVC, DN 20 MM (1/2"), PARA CIRCUITOS TERMINAIS, INSTALADO EM PAREDE - FORNECIMENTO E INSTALAÇÃO. AF_12/2015</v>
      </c>
      <c r="D572" s="252"/>
      <c r="E572" s="252"/>
      <c r="F572" s="391" t="s">
        <v>295</v>
      </c>
      <c r="G572" s="396" t="str">
        <f>ORÇAMENTO!E68</f>
        <v>M</v>
      </c>
      <c r="H572" s="310">
        <f>ORÇAMENTO!L68</f>
        <v>10.25</v>
      </c>
      <c r="I572" s="163" t="s">
        <v>295</v>
      </c>
    </row>
    <row r="573" spans="1:9" s="291" customFormat="1" ht="16.5" customHeight="1">
      <c r="A573" s="391" t="s">
        <v>296</v>
      </c>
      <c r="B573" s="392" t="s">
        <v>102</v>
      </c>
      <c r="C573" s="391" t="s">
        <v>36</v>
      </c>
      <c r="D573" s="399" t="s">
        <v>297</v>
      </c>
      <c r="E573" s="400" t="s">
        <v>26</v>
      </c>
      <c r="F573" s="393" t="s">
        <v>298</v>
      </c>
      <c r="G573" s="393" t="s">
        <v>10</v>
      </c>
      <c r="I573" s="393" t="s">
        <v>298</v>
      </c>
    </row>
    <row r="574" spans="1:9" s="272" customFormat="1" ht="25.5">
      <c r="A574" s="382" t="s">
        <v>197</v>
      </c>
      <c r="B574" s="389" t="s">
        <v>659</v>
      </c>
      <c r="C574" s="383" t="s">
        <v>660</v>
      </c>
      <c r="D574" s="384" t="s">
        <v>304</v>
      </c>
      <c r="E574" s="385">
        <v>1.017</v>
      </c>
      <c r="F574" s="386">
        <f>ROUND(I574*$I$8,2)</f>
        <v>4.31</v>
      </c>
      <c r="G574" s="387">
        <f>ROUND(E574*F574,2)</f>
        <v>4.38</v>
      </c>
      <c r="I574" s="386">
        <v>4.32</v>
      </c>
    </row>
    <row r="575" spans="1:9" s="272" customFormat="1" ht="25.5">
      <c r="A575" s="382" t="s">
        <v>99</v>
      </c>
      <c r="B575" s="389" t="s">
        <v>321</v>
      </c>
      <c r="C575" s="383" t="s">
        <v>300</v>
      </c>
      <c r="D575" s="384" t="s">
        <v>103</v>
      </c>
      <c r="E575" s="385">
        <v>0.152</v>
      </c>
      <c r="F575" s="386">
        <f>ROUND(I575*$J$8,2)</f>
        <v>16.9</v>
      </c>
      <c r="G575" s="387">
        <f>ROUND(E575*F575,2)</f>
        <v>2.57</v>
      </c>
      <c r="I575" s="386">
        <v>17.04</v>
      </c>
    </row>
    <row r="576" spans="1:9" s="272" customFormat="1" ht="12.75">
      <c r="A576" s="382" t="s">
        <v>99</v>
      </c>
      <c r="B576" s="389" t="s">
        <v>322</v>
      </c>
      <c r="C576" s="383" t="s">
        <v>299</v>
      </c>
      <c r="D576" s="384" t="s">
        <v>103</v>
      </c>
      <c r="E576" s="385">
        <v>0.152</v>
      </c>
      <c r="F576" s="386">
        <f>$F$120</f>
        <v>21.34</v>
      </c>
      <c r="G576" s="387">
        <f>ROUND(E576*F576,2)</f>
        <v>3.24</v>
      </c>
      <c r="I576" s="386">
        <v>21.52</v>
      </c>
    </row>
    <row r="577" spans="1:14" s="281" customFormat="1" ht="16.5" customHeight="1">
      <c r="A577" s="366" t="s">
        <v>485</v>
      </c>
      <c r="B577" s="365"/>
      <c r="C577" s="365"/>
      <c r="D577" s="365"/>
      <c r="E577" s="365"/>
      <c r="F577" s="364"/>
      <c r="G577" s="397">
        <f>SUM(G574)</f>
        <v>4.38</v>
      </c>
      <c r="H577" s="376"/>
      <c r="I577" s="376"/>
      <c r="J577" s="376"/>
      <c r="K577" s="376"/>
      <c r="L577" s="376"/>
      <c r="M577" s="376"/>
      <c r="N577" s="376"/>
    </row>
    <row r="578" spans="1:14" s="281" customFormat="1" ht="16.5" customHeight="1">
      <c r="A578" s="366" t="s">
        <v>488</v>
      </c>
      <c r="B578" s="365"/>
      <c r="C578" s="365"/>
      <c r="D578" s="365"/>
      <c r="E578" s="365"/>
      <c r="F578" s="364"/>
      <c r="G578" s="397">
        <f>SUM(G575:G576)</f>
        <v>5.8100000000000005</v>
      </c>
      <c r="H578" s="376"/>
      <c r="I578" s="376"/>
      <c r="J578" s="376"/>
      <c r="K578" s="376"/>
      <c r="L578" s="376"/>
      <c r="M578" s="376"/>
      <c r="N578" s="376"/>
    </row>
    <row r="579" spans="1:14" s="281" customFormat="1" ht="16.5" customHeight="1">
      <c r="A579" s="369" t="s">
        <v>486</v>
      </c>
      <c r="B579" s="368"/>
      <c r="C579" s="368"/>
      <c r="D579" s="368"/>
      <c r="E579" s="368"/>
      <c r="F579" s="367"/>
      <c r="G579" s="398">
        <f>SUM(G577:G578)</f>
        <v>10.190000000000001</v>
      </c>
      <c r="H579" s="394"/>
      <c r="I579" s="394"/>
      <c r="J579" s="394"/>
      <c r="K579" s="394"/>
      <c r="L579" s="394"/>
      <c r="M579" s="394"/>
      <c r="N579" s="394"/>
    </row>
    <row r="580" spans="1:14" s="281" customFormat="1" ht="16.5" customHeight="1">
      <c r="A580" s="366" t="s">
        <v>489</v>
      </c>
      <c r="B580" s="365"/>
      <c r="C580" s="365"/>
      <c r="D580" s="365"/>
      <c r="E580" s="365"/>
      <c r="F580" s="364"/>
      <c r="G580" s="397">
        <f>ROUND(G579*$H$8,2)</f>
        <v>2.98</v>
      </c>
      <c r="H580" s="376"/>
      <c r="I580" s="376"/>
      <c r="J580" s="376"/>
      <c r="K580" s="376"/>
      <c r="L580" s="376"/>
      <c r="M580" s="376"/>
      <c r="N580" s="376"/>
    </row>
    <row r="581" spans="1:14" s="281" customFormat="1" ht="16.5" customHeight="1">
      <c r="A581" s="369" t="s">
        <v>487</v>
      </c>
      <c r="B581" s="368"/>
      <c r="C581" s="368"/>
      <c r="D581" s="368"/>
      <c r="E581" s="368"/>
      <c r="F581" s="367"/>
      <c r="G581" s="398">
        <f>SUM(G579:G580)</f>
        <v>13.170000000000002</v>
      </c>
      <c r="H581" s="394"/>
      <c r="I581" s="394"/>
      <c r="J581" s="394"/>
      <c r="K581" s="394"/>
      <c r="L581" s="394"/>
      <c r="M581" s="394"/>
      <c r="N581" s="394"/>
    </row>
    <row r="582" spans="2:13" s="281" customFormat="1" ht="13.5">
      <c r="B582" s="284"/>
      <c r="E582" s="362"/>
      <c r="F582" s="362"/>
      <c r="G582" s="362"/>
      <c r="I582" s="362"/>
      <c r="J582" s="283"/>
      <c r="K582" s="282"/>
      <c r="L582" s="282"/>
      <c r="M582" s="282"/>
    </row>
    <row r="583" spans="1:9" s="272" customFormat="1" ht="44.25" customHeight="1">
      <c r="A583" s="390" t="str">
        <f>ORÇAMENTO!B69</f>
        <v>SINAPI</v>
      </c>
      <c r="B583" s="388" t="str">
        <f>ORÇAMENTO!C69</f>
        <v>97891</v>
      </c>
      <c r="C583" s="252" t="str">
        <f>ORÇAMENTO!D69</f>
        <v>CAIXA ENTERRADA ELÉTRICA RETANGULAR, EM ALVENARIA COM BLOCOS DE CONCRETO, FUNDO COM BRITA, DIMENSÕES INTERNAS: 0,4X0,4X0,4 M. AF_12/2020</v>
      </c>
      <c r="D583" s="252"/>
      <c r="E583" s="252"/>
      <c r="F583" s="391" t="s">
        <v>295</v>
      </c>
      <c r="G583" s="396" t="str">
        <f>ORÇAMENTO!E69</f>
        <v>UN</v>
      </c>
      <c r="H583" s="310">
        <f>ORÇAMENTO!L69</f>
        <v>185.43</v>
      </c>
      <c r="I583" s="163" t="s">
        <v>295</v>
      </c>
    </row>
    <row r="584" spans="1:9" s="291" customFormat="1" ht="16.5" customHeight="1">
      <c r="A584" s="391" t="s">
        <v>296</v>
      </c>
      <c r="B584" s="392" t="s">
        <v>102</v>
      </c>
      <c r="C584" s="391" t="s">
        <v>36</v>
      </c>
      <c r="D584" s="399" t="s">
        <v>297</v>
      </c>
      <c r="E584" s="400" t="s">
        <v>26</v>
      </c>
      <c r="F584" s="393" t="s">
        <v>298</v>
      </c>
      <c r="G584" s="393" t="s">
        <v>10</v>
      </c>
      <c r="I584" s="393" t="s">
        <v>298</v>
      </c>
    </row>
    <row r="585" spans="1:9" s="272" customFormat="1" ht="25.5">
      <c r="A585" s="382" t="s">
        <v>197</v>
      </c>
      <c r="B585" s="389" t="s">
        <v>661</v>
      </c>
      <c r="C585" s="383" t="s">
        <v>662</v>
      </c>
      <c r="D585" s="384" t="s">
        <v>214</v>
      </c>
      <c r="E585" s="385">
        <v>10.8352</v>
      </c>
      <c r="F585" s="386">
        <f aca="true" t="shared" si="20" ref="F585:F591">ROUND(I585*$I$8,2)</f>
        <v>2.57</v>
      </c>
      <c r="G585" s="387">
        <f aca="true" t="shared" si="21" ref="G585:G591">ROUND(E585*F585,2)</f>
        <v>27.85</v>
      </c>
      <c r="I585" s="386">
        <v>2.58</v>
      </c>
    </row>
    <row r="586" spans="1:9" s="272" customFormat="1" ht="51">
      <c r="A586" s="382" t="s">
        <v>99</v>
      </c>
      <c r="B586" s="389" t="s">
        <v>663</v>
      </c>
      <c r="C586" s="383" t="s">
        <v>664</v>
      </c>
      <c r="D586" s="384" t="s">
        <v>180</v>
      </c>
      <c r="E586" s="385">
        <v>0.0007</v>
      </c>
      <c r="F586" s="386">
        <f t="shared" si="20"/>
        <v>482.96</v>
      </c>
      <c r="G586" s="387">
        <f t="shared" si="21"/>
        <v>0.34</v>
      </c>
      <c r="I586" s="386">
        <v>484.07</v>
      </c>
    </row>
    <row r="587" spans="1:9" s="272" customFormat="1" ht="12.75">
      <c r="A587" s="382" t="s">
        <v>99</v>
      </c>
      <c r="B587" s="389" t="s">
        <v>448</v>
      </c>
      <c r="C587" s="383" t="s">
        <v>449</v>
      </c>
      <c r="D587" s="384" t="s">
        <v>103</v>
      </c>
      <c r="E587" s="385">
        <v>1.6486</v>
      </c>
      <c r="F587" s="386">
        <f>ROUND(I587*$J$8,2)</f>
        <v>21.13</v>
      </c>
      <c r="G587" s="387">
        <f t="shared" si="21"/>
        <v>34.83</v>
      </c>
      <c r="I587" s="386">
        <v>21.31</v>
      </c>
    </row>
    <row r="588" spans="1:9" s="272" customFormat="1" ht="12.75">
      <c r="A588" s="382" t="s">
        <v>99</v>
      </c>
      <c r="B588" s="389" t="s">
        <v>208</v>
      </c>
      <c r="C588" s="383" t="s">
        <v>209</v>
      </c>
      <c r="D588" s="384" t="s">
        <v>103</v>
      </c>
      <c r="E588" s="385">
        <v>1.6486</v>
      </c>
      <c r="F588" s="386">
        <f>ROUND(I588*$J$8,2)</f>
        <v>16.94</v>
      </c>
      <c r="G588" s="387">
        <f t="shared" si="21"/>
        <v>27.93</v>
      </c>
      <c r="I588" s="386">
        <v>17.09</v>
      </c>
    </row>
    <row r="589" spans="1:9" s="272" customFormat="1" ht="38.25">
      <c r="A589" s="382" t="s">
        <v>99</v>
      </c>
      <c r="B589" s="389" t="s">
        <v>665</v>
      </c>
      <c r="C589" s="383" t="s">
        <v>666</v>
      </c>
      <c r="D589" s="384" t="s">
        <v>180</v>
      </c>
      <c r="E589" s="385">
        <v>0.0261</v>
      </c>
      <c r="F589" s="386">
        <f t="shared" si="20"/>
        <v>592.94</v>
      </c>
      <c r="G589" s="387">
        <f t="shared" si="21"/>
        <v>15.48</v>
      </c>
      <c r="I589" s="386">
        <v>594.31</v>
      </c>
    </row>
    <row r="590" spans="1:9" s="272" customFormat="1" ht="38.25">
      <c r="A590" s="382" t="s">
        <v>99</v>
      </c>
      <c r="B590" s="389" t="s">
        <v>667</v>
      </c>
      <c r="C590" s="383" t="s">
        <v>668</v>
      </c>
      <c r="D590" s="384" t="s">
        <v>180</v>
      </c>
      <c r="E590" s="385">
        <v>0.0252</v>
      </c>
      <c r="F590" s="386">
        <f t="shared" si="20"/>
        <v>2619.94</v>
      </c>
      <c r="G590" s="387">
        <f t="shared" si="21"/>
        <v>66.02</v>
      </c>
      <c r="I590" s="386">
        <v>2625.98</v>
      </c>
    </row>
    <row r="591" spans="1:9" s="272" customFormat="1" ht="38.25">
      <c r="A591" s="382" t="s">
        <v>99</v>
      </c>
      <c r="B591" s="389" t="s">
        <v>669</v>
      </c>
      <c r="C591" s="383" t="s">
        <v>670</v>
      </c>
      <c r="D591" s="384" t="s">
        <v>180</v>
      </c>
      <c r="E591" s="385">
        <v>0.049</v>
      </c>
      <c r="F591" s="386">
        <f t="shared" si="20"/>
        <v>247.81</v>
      </c>
      <c r="G591" s="387">
        <f t="shared" si="21"/>
        <v>12.14</v>
      </c>
      <c r="I591" s="386">
        <v>248.38</v>
      </c>
    </row>
    <row r="592" spans="1:14" s="281" customFormat="1" ht="16.5" customHeight="1">
      <c r="A592" s="366" t="s">
        <v>485</v>
      </c>
      <c r="B592" s="365"/>
      <c r="C592" s="365"/>
      <c r="D592" s="365"/>
      <c r="E592" s="365"/>
      <c r="F592" s="364"/>
      <c r="G592" s="397">
        <f>SUM(G585:G586,G589,G590)</f>
        <v>109.69</v>
      </c>
      <c r="H592" s="376"/>
      <c r="I592" s="376"/>
      <c r="J592" s="376"/>
      <c r="K592" s="376"/>
      <c r="L592" s="376"/>
      <c r="M592" s="376"/>
      <c r="N592" s="376"/>
    </row>
    <row r="593" spans="1:14" s="281" customFormat="1" ht="16.5" customHeight="1">
      <c r="A593" s="366" t="s">
        <v>488</v>
      </c>
      <c r="B593" s="365"/>
      <c r="C593" s="365"/>
      <c r="D593" s="365"/>
      <c r="E593" s="365"/>
      <c r="F593" s="364"/>
      <c r="G593" s="397">
        <f>SUM(G587:G588,G591)</f>
        <v>74.9</v>
      </c>
      <c r="H593" s="376"/>
      <c r="I593" s="376"/>
      <c r="J593" s="376"/>
      <c r="K593" s="376"/>
      <c r="L593" s="376"/>
      <c r="M593" s="376"/>
      <c r="N593" s="376"/>
    </row>
    <row r="594" spans="1:14" s="281" customFormat="1" ht="16.5" customHeight="1">
      <c r="A594" s="369" t="s">
        <v>486</v>
      </c>
      <c r="B594" s="368"/>
      <c r="C594" s="368"/>
      <c r="D594" s="368"/>
      <c r="E594" s="368"/>
      <c r="F594" s="367"/>
      <c r="G594" s="398">
        <f>SUM(G592:G593)</f>
        <v>184.59</v>
      </c>
      <c r="H594" s="394"/>
      <c r="I594" s="394"/>
      <c r="J594" s="394"/>
      <c r="K594" s="394"/>
      <c r="L594" s="394"/>
      <c r="M594" s="394"/>
      <c r="N594" s="394"/>
    </row>
    <row r="595" spans="1:14" s="281" customFormat="1" ht="16.5" customHeight="1">
      <c r="A595" s="366" t="s">
        <v>489</v>
      </c>
      <c r="B595" s="365"/>
      <c r="C595" s="365"/>
      <c r="D595" s="365"/>
      <c r="E595" s="365"/>
      <c r="F595" s="364"/>
      <c r="G595" s="397">
        <f>ROUND(G594*$H$8,2)</f>
        <v>54.03</v>
      </c>
      <c r="H595" s="376"/>
      <c r="I595" s="376"/>
      <c r="J595" s="376"/>
      <c r="K595" s="376"/>
      <c r="L595" s="376"/>
      <c r="M595" s="376"/>
      <c r="N595" s="376"/>
    </row>
    <row r="596" spans="1:14" s="281" customFormat="1" ht="16.5" customHeight="1">
      <c r="A596" s="369" t="s">
        <v>487</v>
      </c>
      <c r="B596" s="368"/>
      <c r="C596" s="368"/>
      <c r="D596" s="368"/>
      <c r="E596" s="368"/>
      <c r="F596" s="367"/>
      <c r="G596" s="398">
        <f>SUM(G594:G595)</f>
        <v>238.62</v>
      </c>
      <c r="H596" s="394"/>
      <c r="I596" s="394"/>
      <c r="J596" s="394"/>
      <c r="K596" s="394"/>
      <c r="L596" s="394"/>
      <c r="M596" s="394"/>
      <c r="N596" s="394"/>
    </row>
    <row r="597" spans="2:13" s="281" customFormat="1" ht="13.5">
      <c r="B597" s="284"/>
      <c r="E597" s="362"/>
      <c r="F597" s="362"/>
      <c r="G597" s="362"/>
      <c r="I597" s="362"/>
      <c r="J597" s="283"/>
      <c r="K597" s="282"/>
      <c r="L597" s="282"/>
      <c r="M597" s="282"/>
    </row>
    <row r="598" spans="1:9" s="272" customFormat="1" ht="53.25" customHeight="1">
      <c r="A598" s="390" t="str">
        <f>ORÇAMENTO!B71</f>
        <v>SINAPI</v>
      </c>
      <c r="B598" s="388" t="str">
        <f>ORÇAMENTO!C71</f>
        <v>95472</v>
      </c>
      <c r="C598" s="252" t="str">
        <f>ORÇAMENTO!D71</f>
        <v>VASO SANITARIO SIFONADO CONVENCIONAL PARA PCD SEM FURO FRONTAL COM LOUÇA BRANCA SEM ASSENTO, INCLUSO CONJUNTO DE LIGAÇÃO PARA BACIA SANITÁRIA AJUSTÁVEL - FORNECIMENTO E INSTALAÇÃO. AF_01/2020</v>
      </c>
      <c r="D598" s="252"/>
      <c r="E598" s="252"/>
      <c r="F598" s="391" t="s">
        <v>295</v>
      </c>
      <c r="G598" s="396" t="str">
        <f>ORÇAMENTO!E71</f>
        <v>UN</v>
      </c>
      <c r="H598" s="310">
        <f>ORÇAMENTO!L71</f>
        <v>646.03</v>
      </c>
      <c r="I598" s="163" t="s">
        <v>295</v>
      </c>
    </row>
    <row r="599" spans="1:9" s="291" customFormat="1" ht="16.5" customHeight="1">
      <c r="A599" s="391" t="s">
        <v>296</v>
      </c>
      <c r="B599" s="392" t="s">
        <v>102</v>
      </c>
      <c r="C599" s="391" t="s">
        <v>36</v>
      </c>
      <c r="D599" s="399" t="s">
        <v>297</v>
      </c>
      <c r="E599" s="400" t="s">
        <v>26</v>
      </c>
      <c r="F599" s="393" t="s">
        <v>298</v>
      </c>
      <c r="G599" s="393" t="s">
        <v>10</v>
      </c>
      <c r="I599" s="393" t="s">
        <v>298</v>
      </c>
    </row>
    <row r="600" spans="1:9" s="272" customFormat="1" ht="38.25">
      <c r="A600" s="382" t="s">
        <v>197</v>
      </c>
      <c r="B600" s="389" t="s">
        <v>671</v>
      </c>
      <c r="C600" s="383" t="s">
        <v>672</v>
      </c>
      <c r="D600" s="384" t="s">
        <v>214</v>
      </c>
      <c r="E600" s="385">
        <v>1</v>
      </c>
      <c r="F600" s="386">
        <f>ROUND(I600*$I$8,2)</f>
        <v>7.68</v>
      </c>
      <c r="G600" s="387">
        <f>ROUND(E600*F600,2)</f>
        <v>7.68</v>
      </c>
      <c r="I600" s="386">
        <v>7.7</v>
      </c>
    </row>
    <row r="601" spans="1:9" s="272" customFormat="1" ht="38.25">
      <c r="A601" s="382" t="s">
        <v>99</v>
      </c>
      <c r="B601" s="389" t="s">
        <v>673</v>
      </c>
      <c r="C601" s="383" t="s">
        <v>674</v>
      </c>
      <c r="D601" s="384" t="s">
        <v>179</v>
      </c>
      <c r="E601" s="385">
        <v>1</v>
      </c>
      <c r="F601" s="386">
        <f>ROUND(I601*$I$8,2)</f>
        <v>636.86</v>
      </c>
      <c r="G601" s="387">
        <f>ROUND(E601*F601,2)</f>
        <v>636.86</v>
      </c>
      <c r="I601" s="386">
        <v>638.33</v>
      </c>
    </row>
    <row r="602" spans="1:14" s="281" customFormat="1" ht="16.5" customHeight="1">
      <c r="A602" s="366" t="s">
        <v>485</v>
      </c>
      <c r="B602" s="365"/>
      <c r="C602" s="365"/>
      <c r="D602" s="365"/>
      <c r="E602" s="365"/>
      <c r="F602" s="364"/>
      <c r="G602" s="397">
        <f>ROUND(G601*0.6,2)+G600</f>
        <v>389.8</v>
      </c>
      <c r="H602" s="376"/>
      <c r="I602" s="376"/>
      <c r="J602" s="376"/>
      <c r="K602" s="376"/>
      <c r="L602" s="376"/>
      <c r="M602" s="376"/>
      <c r="N602" s="376"/>
    </row>
    <row r="603" spans="1:14" s="281" customFormat="1" ht="16.5" customHeight="1">
      <c r="A603" s="366" t="s">
        <v>488</v>
      </c>
      <c r="B603" s="365"/>
      <c r="C603" s="365"/>
      <c r="D603" s="365"/>
      <c r="E603" s="365"/>
      <c r="F603" s="364"/>
      <c r="G603" s="397">
        <f>ROUND(G601*0.4,2)</f>
        <v>254.74</v>
      </c>
      <c r="H603" s="376"/>
      <c r="I603" s="376"/>
      <c r="J603" s="376"/>
      <c r="K603" s="376"/>
      <c r="L603" s="376"/>
      <c r="M603" s="376"/>
      <c r="N603" s="376"/>
    </row>
    <row r="604" spans="1:14" s="281" customFormat="1" ht="16.5" customHeight="1">
      <c r="A604" s="369" t="s">
        <v>486</v>
      </c>
      <c r="B604" s="368"/>
      <c r="C604" s="368"/>
      <c r="D604" s="368"/>
      <c r="E604" s="368"/>
      <c r="F604" s="367"/>
      <c r="G604" s="398">
        <f>SUM(G602:G603)</f>
        <v>644.54</v>
      </c>
      <c r="H604" s="394"/>
      <c r="I604" s="394"/>
      <c r="J604" s="394"/>
      <c r="K604" s="394"/>
      <c r="L604" s="394"/>
      <c r="M604" s="394"/>
      <c r="N604" s="394"/>
    </row>
    <row r="605" spans="1:14" s="281" customFormat="1" ht="16.5" customHeight="1">
      <c r="A605" s="366" t="s">
        <v>489</v>
      </c>
      <c r="B605" s="365"/>
      <c r="C605" s="365"/>
      <c r="D605" s="365"/>
      <c r="E605" s="365"/>
      <c r="F605" s="364"/>
      <c r="G605" s="397">
        <f>ROUND(G604*$H$8,2)</f>
        <v>188.66</v>
      </c>
      <c r="H605" s="376"/>
      <c r="I605" s="376"/>
      <c r="J605" s="376"/>
      <c r="K605" s="376"/>
      <c r="L605" s="376"/>
      <c r="M605" s="376"/>
      <c r="N605" s="376"/>
    </row>
    <row r="606" spans="1:14" s="281" customFormat="1" ht="16.5" customHeight="1">
      <c r="A606" s="369" t="s">
        <v>487</v>
      </c>
      <c r="B606" s="368"/>
      <c r="C606" s="368"/>
      <c r="D606" s="368"/>
      <c r="E606" s="368"/>
      <c r="F606" s="367"/>
      <c r="G606" s="398">
        <f>SUM(G604:G605)</f>
        <v>833.1999999999999</v>
      </c>
      <c r="H606" s="394"/>
      <c r="I606" s="394"/>
      <c r="J606" s="394"/>
      <c r="K606" s="394"/>
      <c r="L606" s="394"/>
      <c r="M606" s="394"/>
      <c r="N606" s="394"/>
    </row>
    <row r="607" spans="2:13" s="281" customFormat="1" ht="13.5">
      <c r="B607" s="284"/>
      <c r="E607" s="362"/>
      <c r="F607" s="362"/>
      <c r="G607" s="362"/>
      <c r="I607" s="362"/>
      <c r="J607" s="283"/>
      <c r="K607" s="282"/>
      <c r="L607" s="282"/>
      <c r="M607" s="282"/>
    </row>
    <row r="608" spans="1:9" s="272" customFormat="1" ht="54.75" customHeight="1">
      <c r="A608" s="390" t="str">
        <f>ORÇAMENTO!B72</f>
        <v>SINAPI</v>
      </c>
      <c r="B608" s="388" t="str">
        <f>ORÇAMENTO!C72</f>
        <v>86940</v>
      </c>
      <c r="C608" s="252" t="str">
        <f>ORÇAMENTO!D72</f>
        <v>LAVATÓRIO LOUÇA BRANCA COM COLUNA, 45 X 55CM OU EQUIVALENTE, PADRÃO MÉDIO, INCLUSO SIFÃO TIPO GARRAFA, VÁLVULA E ENGATE FLEXÍVEL DE 40CM EM METAL CROMADO, COM APARELHO MISTURADOR PADRÃO MÉDIO - FORNECIMENTO E INSTALAÇÃO. AF_01/2020</v>
      </c>
      <c r="D608" s="252"/>
      <c r="E608" s="252"/>
      <c r="F608" s="391" t="s">
        <v>295</v>
      </c>
      <c r="G608" s="396" t="str">
        <f>ORÇAMENTO!E72</f>
        <v>UN</v>
      </c>
      <c r="H608" s="310">
        <f>ORÇAMENTO!L72</f>
        <v>985.12</v>
      </c>
      <c r="I608" s="163" t="s">
        <v>295</v>
      </c>
    </row>
    <row r="609" spans="1:9" s="291" customFormat="1" ht="16.5" customHeight="1">
      <c r="A609" s="391" t="s">
        <v>296</v>
      </c>
      <c r="B609" s="392" t="s">
        <v>102</v>
      </c>
      <c r="C609" s="391" t="s">
        <v>36</v>
      </c>
      <c r="D609" s="399" t="s">
        <v>297</v>
      </c>
      <c r="E609" s="400" t="s">
        <v>26</v>
      </c>
      <c r="F609" s="393" t="s">
        <v>298</v>
      </c>
      <c r="G609" s="393" t="s">
        <v>10</v>
      </c>
      <c r="I609" s="393" t="s">
        <v>298</v>
      </c>
    </row>
    <row r="610" spans="1:9" s="272" customFormat="1" ht="38.25">
      <c r="A610" s="382" t="s">
        <v>99</v>
      </c>
      <c r="B610" s="389" t="s">
        <v>675</v>
      </c>
      <c r="C610" s="383" t="s">
        <v>676</v>
      </c>
      <c r="D610" s="384" t="s">
        <v>179</v>
      </c>
      <c r="E610" s="385">
        <v>1</v>
      </c>
      <c r="F610" s="386">
        <f>ROUND(I610*$I$8,2)</f>
        <v>68.08</v>
      </c>
      <c r="G610" s="387">
        <f>ROUND(E610*F610,2)</f>
        <v>68.08</v>
      </c>
      <c r="I610" s="386">
        <v>68.24</v>
      </c>
    </row>
    <row r="611" spans="1:9" s="272" customFormat="1" ht="25.5">
      <c r="A611" s="382" t="s">
        <v>99</v>
      </c>
      <c r="B611" s="389" t="s">
        <v>677</v>
      </c>
      <c r="C611" s="383" t="s">
        <v>678</v>
      </c>
      <c r="D611" s="384" t="s">
        <v>179</v>
      </c>
      <c r="E611" s="385">
        <v>1</v>
      </c>
      <c r="F611" s="386">
        <f>ROUND(I611*$I$8,2)</f>
        <v>208.75</v>
      </c>
      <c r="G611" s="387">
        <f>ROUND(E611*F611,2)</f>
        <v>208.75</v>
      </c>
      <c r="I611" s="386">
        <v>209.23</v>
      </c>
    </row>
    <row r="612" spans="1:9" s="272" customFormat="1" ht="25.5">
      <c r="A612" s="382" t="s">
        <v>99</v>
      </c>
      <c r="B612" s="389" t="s">
        <v>679</v>
      </c>
      <c r="C612" s="383" t="s">
        <v>680</v>
      </c>
      <c r="D612" s="384" t="s">
        <v>179</v>
      </c>
      <c r="E612" s="385">
        <v>2</v>
      </c>
      <c r="F612" s="386">
        <f>ROUND(I612*$I$8,2)</f>
        <v>54.61</v>
      </c>
      <c r="G612" s="387">
        <f>ROUND(E612*F612,2)</f>
        <v>109.22</v>
      </c>
      <c r="I612" s="386">
        <v>54.74</v>
      </c>
    </row>
    <row r="613" spans="1:9" s="272" customFormat="1" ht="38.25">
      <c r="A613" s="382" t="s">
        <v>99</v>
      </c>
      <c r="B613" s="389" t="s">
        <v>681</v>
      </c>
      <c r="C613" s="383" t="s">
        <v>682</v>
      </c>
      <c r="D613" s="384" t="s">
        <v>179</v>
      </c>
      <c r="E613" s="385">
        <v>1</v>
      </c>
      <c r="F613" s="386">
        <f>ROUND(I613*$I$8,2)</f>
        <v>314.08</v>
      </c>
      <c r="G613" s="387">
        <f>ROUND(E613*F613,2)</f>
        <v>314.08</v>
      </c>
      <c r="I613" s="386">
        <v>314.8</v>
      </c>
    </row>
    <row r="614" spans="1:9" s="272" customFormat="1" ht="38.25">
      <c r="A614" s="382" t="s">
        <v>99</v>
      </c>
      <c r="B614" s="389" t="s">
        <v>683</v>
      </c>
      <c r="C614" s="383" t="s">
        <v>684</v>
      </c>
      <c r="D614" s="384" t="s">
        <v>179</v>
      </c>
      <c r="E614" s="385">
        <v>1</v>
      </c>
      <c r="F614" s="386">
        <f>ROUND(I614*$I$8,2)</f>
        <v>282.72</v>
      </c>
      <c r="G614" s="387">
        <f>ROUND(E614*F614,2)</f>
        <v>282.72</v>
      </c>
      <c r="I614" s="386">
        <v>283.37</v>
      </c>
    </row>
    <row r="615" spans="1:14" s="281" customFormat="1" ht="16.5" customHeight="1">
      <c r="A615" s="366" t="s">
        <v>485</v>
      </c>
      <c r="B615" s="365"/>
      <c r="C615" s="365"/>
      <c r="D615" s="365"/>
      <c r="E615" s="365"/>
      <c r="F615" s="364"/>
      <c r="G615" s="397">
        <f>ROUND(SUM(G610:G614)*0.6,2)</f>
        <v>589.71</v>
      </c>
      <c r="H615" s="376"/>
      <c r="I615" s="376"/>
      <c r="J615" s="376"/>
      <c r="K615" s="376"/>
      <c r="L615" s="376"/>
      <c r="M615" s="376"/>
      <c r="N615" s="376"/>
    </row>
    <row r="616" spans="1:14" s="281" customFormat="1" ht="16.5" customHeight="1">
      <c r="A616" s="366" t="s">
        <v>488</v>
      </c>
      <c r="B616" s="365"/>
      <c r="C616" s="365"/>
      <c r="D616" s="365"/>
      <c r="E616" s="365"/>
      <c r="F616" s="364"/>
      <c r="G616" s="397">
        <f>ROUND(SUM(G610:G614)*0.4,2)</f>
        <v>393.14</v>
      </c>
      <c r="H616" s="376"/>
      <c r="I616" s="376"/>
      <c r="J616" s="376"/>
      <c r="K616" s="376"/>
      <c r="L616" s="376"/>
      <c r="M616" s="376"/>
      <c r="N616" s="376"/>
    </row>
    <row r="617" spans="1:14" s="281" customFormat="1" ht="16.5" customHeight="1">
      <c r="A617" s="369" t="s">
        <v>486</v>
      </c>
      <c r="B617" s="368"/>
      <c r="C617" s="368"/>
      <c r="D617" s="368"/>
      <c r="E617" s="368"/>
      <c r="F617" s="367"/>
      <c r="G617" s="398">
        <f>SUM(G615:G616)</f>
        <v>982.85</v>
      </c>
      <c r="H617" s="394"/>
      <c r="I617" s="394"/>
      <c r="J617" s="394"/>
      <c r="K617" s="394"/>
      <c r="L617" s="394"/>
      <c r="M617" s="394"/>
      <c r="N617" s="394"/>
    </row>
    <row r="618" spans="1:14" s="281" customFormat="1" ht="16.5" customHeight="1">
      <c r="A618" s="366" t="s">
        <v>489</v>
      </c>
      <c r="B618" s="365"/>
      <c r="C618" s="365"/>
      <c r="D618" s="365"/>
      <c r="E618" s="365"/>
      <c r="F618" s="364"/>
      <c r="G618" s="397">
        <f>ROUND(G617*$H$8,2)</f>
        <v>287.68</v>
      </c>
      <c r="H618" s="376"/>
      <c r="I618" s="376"/>
      <c r="J618" s="376"/>
      <c r="K618" s="376"/>
      <c r="L618" s="376"/>
      <c r="M618" s="376"/>
      <c r="N618" s="376"/>
    </row>
    <row r="619" spans="1:14" s="281" customFormat="1" ht="16.5" customHeight="1">
      <c r="A619" s="369" t="s">
        <v>487</v>
      </c>
      <c r="B619" s="368"/>
      <c r="C619" s="368"/>
      <c r="D619" s="368"/>
      <c r="E619" s="368"/>
      <c r="F619" s="367"/>
      <c r="G619" s="398">
        <f>SUM(G617:G618)</f>
        <v>1270.53</v>
      </c>
      <c r="H619" s="394"/>
      <c r="I619" s="394"/>
      <c r="J619" s="394"/>
      <c r="K619" s="394"/>
      <c r="L619" s="394"/>
      <c r="M619" s="394"/>
      <c r="N619" s="394"/>
    </row>
    <row r="620" spans="2:13" s="281" customFormat="1" ht="13.5">
      <c r="B620" s="284"/>
      <c r="E620" s="362"/>
      <c r="F620" s="362"/>
      <c r="G620" s="362"/>
      <c r="I620" s="362"/>
      <c r="J620" s="283"/>
      <c r="K620" s="282"/>
      <c r="L620" s="282"/>
      <c r="M620" s="282"/>
    </row>
    <row r="621" spans="1:9" s="272" customFormat="1" ht="54" customHeight="1">
      <c r="A621" s="390" t="str">
        <f>ORÇAMENTO!B73</f>
        <v>SINAPI</v>
      </c>
      <c r="B621" s="388" t="str">
        <f>ORÇAMENTO!C73</f>
        <v>93441</v>
      </c>
      <c r="C621" s="252" t="str">
        <f>ORÇAMENTO!D73</f>
        <v>BANCADA GRANITO CINZA  150 X 60 CM, COM CUBA DE EMBUTIR DE AÇO, VÁLVULA AMERICANA EM METAL, SIFÃO FLEXÍVEL EM PVC, ENGATE FLEXÍVEL 30 CM, TORNEIRA CROMADA LONGA, DE PAREDE, 1/2 OU 3/4, P/ COZINHA, PADRÃO POPULAR - FORNEC. E INSTALAÇÃO. AF_01/2020</v>
      </c>
      <c r="D621" s="252"/>
      <c r="E621" s="252"/>
      <c r="F621" s="391" t="s">
        <v>295</v>
      </c>
      <c r="G621" s="396" t="str">
        <f>ORÇAMENTO!E73</f>
        <v>UN</v>
      </c>
      <c r="H621" s="310">
        <f>ORÇAMENTO!L73</f>
        <v>894.49</v>
      </c>
      <c r="I621" s="163" t="s">
        <v>295</v>
      </c>
    </row>
    <row r="622" spans="1:9" s="291" customFormat="1" ht="16.5" customHeight="1">
      <c r="A622" s="391" t="s">
        <v>296</v>
      </c>
      <c r="B622" s="392" t="s">
        <v>102</v>
      </c>
      <c r="C622" s="391" t="s">
        <v>36</v>
      </c>
      <c r="D622" s="399" t="s">
        <v>297</v>
      </c>
      <c r="E622" s="400" t="s">
        <v>26</v>
      </c>
      <c r="F622" s="393" t="s">
        <v>298</v>
      </c>
      <c r="G622" s="393" t="s">
        <v>10</v>
      </c>
      <c r="I622" s="393" t="s">
        <v>298</v>
      </c>
    </row>
    <row r="623" spans="1:9" s="272" customFormat="1" ht="25.5">
      <c r="A623" s="382" t="s">
        <v>99</v>
      </c>
      <c r="B623" s="389" t="s">
        <v>685</v>
      </c>
      <c r="C623" s="383" t="s">
        <v>686</v>
      </c>
      <c r="D623" s="384" t="s">
        <v>179</v>
      </c>
      <c r="E623" s="385">
        <v>1</v>
      </c>
      <c r="F623" s="386">
        <f>ROUND(I623*$I$8,2)</f>
        <v>8.28</v>
      </c>
      <c r="G623" s="387">
        <f>ROUND(E623*F623,2)</f>
        <v>8.28</v>
      </c>
      <c r="I623" s="386">
        <v>8.3</v>
      </c>
    </row>
    <row r="624" spans="1:9" s="272" customFormat="1" ht="38.25">
      <c r="A624" s="382" t="s">
        <v>99</v>
      </c>
      <c r="B624" s="389" t="s">
        <v>687</v>
      </c>
      <c r="C624" s="383" t="s">
        <v>688</v>
      </c>
      <c r="D624" s="384" t="s">
        <v>179</v>
      </c>
      <c r="E624" s="385">
        <v>1</v>
      </c>
      <c r="F624" s="386">
        <f>ROUND(I624*$I$8,2)</f>
        <v>544.23</v>
      </c>
      <c r="G624" s="387">
        <f>ROUND(E624*F624,2)</f>
        <v>544.23</v>
      </c>
      <c r="I624" s="386">
        <v>545.48</v>
      </c>
    </row>
    <row r="625" spans="1:9" s="272" customFormat="1" ht="38.25">
      <c r="A625" s="382" t="s">
        <v>99</v>
      </c>
      <c r="B625" s="389" t="s">
        <v>689</v>
      </c>
      <c r="C625" s="383" t="s">
        <v>690</v>
      </c>
      <c r="D625" s="384" t="s">
        <v>179</v>
      </c>
      <c r="E625" s="385">
        <v>1</v>
      </c>
      <c r="F625" s="386">
        <f>ROUND(I625*$I$8,2)</f>
        <v>61.26</v>
      </c>
      <c r="G625" s="387">
        <f>ROUND(E625*F625,2)</f>
        <v>61.26</v>
      </c>
      <c r="I625" s="386">
        <v>61.4</v>
      </c>
    </row>
    <row r="626" spans="1:9" s="272" customFormat="1" ht="51">
      <c r="A626" s="382" t="s">
        <v>99</v>
      </c>
      <c r="B626" s="389" t="s">
        <v>691</v>
      </c>
      <c r="C626" s="383" t="s">
        <v>692</v>
      </c>
      <c r="D626" s="384" t="s">
        <v>179</v>
      </c>
      <c r="E626" s="385">
        <v>1</v>
      </c>
      <c r="F626" s="386">
        <f>ROUND(I626*$I$8,2)</f>
        <v>278.67</v>
      </c>
      <c r="G626" s="387">
        <f>ROUND(E626*F626,2)</f>
        <v>278.67</v>
      </c>
      <c r="I626" s="386">
        <v>279.31</v>
      </c>
    </row>
    <row r="627" spans="1:14" s="281" customFormat="1" ht="16.5" customHeight="1">
      <c r="A627" s="366" t="s">
        <v>485</v>
      </c>
      <c r="B627" s="365"/>
      <c r="C627" s="365"/>
      <c r="D627" s="365"/>
      <c r="E627" s="365"/>
      <c r="F627" s="364"/>
      <c r="G627" s="397">
        <f>ROUND(SUM(G623:G626)*0.6,2)</f>
        <v>535.46</v>
      </c>
      <c r="H627" s="376"/>
      <c r="I627" s="376"/>
      <c r="J627" s="376"/>
      <c r="K627" s="376"/>
      <c r="L627" s="376"/>
      <c r="M627" s="376"/>
      <c r="N627" s="376"/>
    </row>
    <row r="628" spans="1:14" s="281" customFormat="1" ht="16.5" customHeight="1">
      <c r="A628" s="366" t="s">
        <v>488</v>
      </c>
      <c r="B628" s="365"/>
      <c r="C628" s="365"/>
      <c r="D628" s="365"/>
      <c r="E628" s="365"/>
      <c r="F628" s="364"/>
      <c r="G628" s="397">
        <f>ROUND(SUM(G623:G626)*0.4,2)</f>
        <v>356.98</v>
      </c>
      <c r="H628" s="376"/>
      <c r="I628" s="376"/>
      <c r="J628" s="376"/>
      <c r="K628" s="376"/>
      <c r="L628" s="376"/>
      <c r="M628" s="376"/>
      <c r="N628" s="376"/>
    </row>
    <row r="629" spans="1:14" s="281" customFormat="1" ht="16.5" customHeight="1">
      <c r="A629" s="369" t="s">
        <v>486</v>
      </c>
      <c r="B629" s="368"/>
      <c r="C629" s="368"/>
      <c r="D629" s="368"/>
      <c r="E629" s="368"/>
      <c r="F629" s="367"/>
      <c r="G629" s="398">
        <f>SUM(G627:G628)</f>
        <v>892.44</v>
      </c>
      <c r="H629" s="394"/>
      <c r="I629" s="394"/>
      <c r="J629" s="394"/>
      <c r="K629" s="394"/>
      <c r="L629" s="394"/>
      <c r="M629" s="394"/>
      <c r="N629" s="394"/>
    </row>
    <row r="630" spans="1:14" s="281" customFormat="1" ht="16.5" customHeight="1">
      <c r="A630" s="366" t="s">
        <v>489</v>
      </c>
      <c r="B630" s="365"/>
      <c r="C630" s="365"/>
      <c r="D630" s="365"/>
      <c r="E630" s="365"/>
      <c r="F630" s="364"/>
      <c r="G630" s="397">
        <f>ROUND(G629*$H$8,2)</f>
        <v>261.22</v>
      </c>
      <c r="H630" s="376"/>
      <c r="I630" s="376"/>
      <c r="J630" s="376"/>
      <c r="K630" s="376"/>
      <c r="L630" s="376"/>
      <c r="M630" s="376"/>
      <c r="N630" s="376"/>
    </row>
    <row r="631" spans="1:14" s="281" customFormat="1" ht="16.5" customHeight="1">
      <c r="A631" s="369" t="s">
        <v>487</v>
      </c>
      <c r="B631" s="368"/>
      <c r="C631" s="368"/>
      <c r="D631" s="368"/>
      <c r="E631" s="368"/>
      <c r="F631" s="367"/>
      <c r="G631" s="398">
        <f>SUM(G629:G630)</f>
        <v>1153.66</v>
      </c>
      <c r="H631" s="394"/>
      <c r="I631" s="394"/>
      <c r="J631" s="394"/>
      <c r="K631" s="394"/>
      <c r="L631" s="394"/>
      <c r="M631" s="394"/>
      <c r="N631" s="394"/>
    </row>
    <row r="632" spans="2:13" s="281" customFormat="1" ht="13.5">
      <c r="B632" s="284"/>
      <c r="E632" s="362"/>
      <c r="F632" s="362"/>
      <c r="G632" s="362"/>
      <c r="I632" s="362"/>
      <c r="J632" s="283"/>
      <c r="K632" s="282"/>
      <c r="L632" s="282"/>
      <c r="M632" s="282"/>
    </row>
    <row r="633" spans="1:9" s="272" customFormat="1" ht="44.25" customHeight="1">
      <c r="A633" s="390" t="str">
        <f>ORÇAMENTO!B74</f>
        <v>SINAPI</v>
      </c>
      <c r="B633" s="388" t="str">
        <f>ORÇAMENTO!C74</f>
        <v>86915</v>
      </c>
      <c r="C633" s="252" t="str">
        <f>ORÇAMENTO!D74</f>
        <v>TORNEIRA CROMADA DE MESA, 1/2 OU 3/4, PARA LAVATÓRIO, PADRÃO MÉDIO - FORNECIMENTO E INSTALAÇÃO. AF_01/2020</v>
      </c>
      <c r="D633" s="252"/>
      <c r="E633" s="252"/>
      <c r="F633" s="391" t="s">
        <v>295</v>
      </c>
      <c r="G633" s="396" t="str">
        <f>ORÇAMENTO!E74</f>
        <v>UN</v>
      </c>
      <c r="H633" s="310">
        <f>ORÇAMENTO!L74</f>
        <v>100.1</v>
      </c>
      <c r="I633" s="163" t="s">
        <v>295</v>
      </c>
    </row>
    <row r="634" spans="1:9" s="291" customFormat="1" ht="16.5" customHeight="1">
      <c r="A634" s="391" t="s">
        <v>296</v>
      </c>
      <c r="B634" s="392" t="s">
        <v>102</v>
      </c>
      <c r="C634" s="391" t="s">
        <v>36</v>
      </c>
      <c r="D634" s="399" t="s">
        <v>297</v>
      </c>
      <c r="E634" s="400" t="s">
        <v>26</v>
      </c>
      <c r="F634" s="393" t="s">
        <v>298</v>
      </c>
      <c r="G634" s="393" t="s">
        <v>10</v>
      </c>
      <c r="I634" s="393" t="s">
        <v>298</v>
      </c>
    </row>
    <row r="635" spans="1:9" s="272" customFormat="1" ht="12.75">
      <c r="A635" s="382" t="s">
        <v>197</v>
      </c>
      <c r="B635" s="389" t="s">
        <v>693</v>
      </c>
      <c r="C635" s="383" t="s">
        <v>694</v>
      </c>
      <c r="D635" s="384" t="s">
        <v>214</v>
      </c>
      <c r="E635" s="385">
        <v>0.021</v>
      </c>
      <c r="F635" s="386">
        <f>ROUND(I635*$I$8,2)</f>
        <v>3.59</v>
      </c>
      <c r="G635" s="387">
        <f>ROUND(E635*F635,2)</f>
        <v>0.08</v>
      </c>
      <c r="I635" s="386">
        <v>3.6</v>
      </c>
    </row>
    <row r="636" spans="1:9" s="272" customFormat="1" ht="25.5">
      <c r="A636" s="382" t="s">
        <v>197</v>
      </c>
      <c r="B636" s="389" t="s">
        <v>695</v>
      </c>
      <c r="C636" s="383" t="s">
        <v>696</v>
      </c>
      <c r="D636" s="384" t="s">
        <v>214</v>
      </c>
      <c r="E636" s="385">
        <v>1</v>
      </c>
      <c r="F636" s="386">
        <f>ROUND(I636*$I$8,2)</f>
        <v>97.32</v>
      </c>
      <c r="G636" s="387">
        <f>ROUND(E636*F636,2)</f>
        <v>97.32</v>
      </c>
      <c r="I636" s="386">
        <v>97.54</v>
      </c>
    </row>
    <row r="637" spans="1:9" s="272" customFormat="1" ht="25.5">
      <c r="A637" s="382" t="s">
        <v>99</v>
      </c>
      <c r="B637" s="389" t="s">
        <v>522</v>
      </c>
      <c r="C637" s="383" t="s">
        <v>523</v>
      </c>
      <c r="D637" s="384" t="s">
        <v>103</v>
      </c>
      <c r="E637" s="385">
        <v>0.096</v>
      </c>
      <c r="F637" s="386">
        <f>ROUND(I637*$J$8,2)</f>
        <v>20.52</v>
      </c>
      <c r="G637" s="387">
        <f>ROUND(E637*F637,2)</f>
        <v>1.97</v>
      </c>
      <c r="I637" s="386">
        <v>20.7</v>
      </c>
    </row>
    <row r="638" spans="1:9" s="272" customFormat="1" ht="12.75">
      <c r="A638" s="382" t="s">
        <v>99</v>
      </c>
      <c r="B638" s="389" t="s">
        <v>208</v>
      </c>
      <c r="C638" s="383" t="s">
        <v>209</v>
      </c>
      <c r="D638" s="384" t="s">
        <v>103</v>
      </c>
      <c r="E638" s="385">
        <v>0.0303</v>
      </c>
      <c r="F638" s="386">
        <f>ROUND(I638*$J$8,2)</f>
        <v>16.94</v>
      </c>
      <c r="G638" s="387">
        <f>ROUND(E638*F638,2)</f>
        <v>0.51</v>
      </c>
      <c r="I638" s="386">
        <v>17.09</v>
      </c>
    </row>
    <row r="639" spans="1:14" s="281" customFormat="1" ht="16.5" customHeight="1">
      <c r="A639" s="366" t="s">
        <v>485</v>
      </c>
      <c r="B639" s="365"/>
      <c r="C639" s="365"/>
      <c r="D639" s="365"/>
      <c r="E639" s="365"/>
      <c r="F639" s="364"/>
      <c r="G639" s="397">
        <f>SUM(G635:G636)</f>
        <v>97.39999999999999</v>
      </c>
      <c r="H639" s="376"/>
      <c r="I639" s="376"/>
      <c r="J639" s="376"/>
      <c r="K639" s="376"/>
      <c r="L639" s="376"/>
      <c r="M639" s="376"/>
      <c r="N639" s="376"/>
    </row>
    <row r="640" spans="1:14" s="281" customFormat="1" ht="16.5" customHeight="1">
      <c r="A640" s="366" t="s">
        <v>488</v>
      </c>
      <c r="B640" s="365"/>
      <c r="C640" s="365"/>
      <c r="D640" s="365"/>
      <c r="E640" s="365"/>
      <c r="F640" s="364"/>
      <c r="G640" s="397">
        <f>SUM(G637:G638)</f>
        <v>2.48</v>
      </c>
      <c r="H640" s="376"/>
      <c r="I640" s="376"/>
      <c r="J640" s="376"/>
      <c r="K640" s="376"/>
      <c r="L640" s="376"/>
      <c r="M640" s="376"/>
      <c r="N640" s="376"/>
    </row>
    <row r="641" spans="1:14" s="281" customFormat="1" ht="16.5" customHeight="1">
      <c r="A641" s="369" t="s">
        <v>486</v>
      </c>
      <c r="B641" s="368"/>
      <c r="C641" s="368"/>
      <c r="D641" s="368"/>
      <c r="E641" s="368"/>
      <c r="F641" s="367"/>
      <c r="G641" s="398">
        <f>SUM(G639:G640)</f>
        <v>99.88</v>
      </c>
      <c r="H641" s="394"/>
      <c r="I641" s="394"/>
      <c r="J641" s="394"/>
      <c r="K641" s="394"/>
      <c r="L641" s="394"/>
      <c r="M641" s="394"/>
      <c r="N641" s="394"/>
    </row>
    <row r="642" spans="1:14" s="281" customFormat="1" ht="16.5" customHeight="1">
      <c r="A642" s="366" t="s">
        <v>489</v>
      </c>
      <c r="B642" s="365"/>
      <c r="C642" s="365"/>
      <c r="D642" s="365"/>
      <c r="E642" s="365"/>
      <c r="F642" s="364"/>
      <c r="G642" s="397">
        <f>ROUND(G641*$H$8,2)</f>
        <v>29.23</v>
      </c>
      <c r="H642" s="376"/>
      <c r="I642" s="376"/>
      <c r="J642" s="376"/>
      <c r="K642" s="376"/>
      <c r="L642" s="376"/>
      <c r="M642" s="376"/>
      <c r="N642" s="376"/>
    </row>
    <row r="643" spans="1:14" s="281" customFormat="1" ht="16.5" customHeight="1">
      <c r="A643" s="369" t="s">
        <v>487</v>
      </c>
      <c r="B643" s="368"/>
      <c r="C643" s="368"/>
      <c r="D643" s="368"/>
      <c r="E643" s="368"/>
      <c r="F643" s="367"/>
      <c r="G643" s="398">
        <f>SUM(G641:G642)</f>
        <v>129.10999999999999</v>
      </c>
      <c r="H643" s="394"/>
      <c r="I643" s="394"/>
      <c r="J643" s="394"/>
      <c r="K643" s="394"/>
      <c r="L643" s="394"/>
      <c r="M643" s="394"/>
      <c r="N643" s="394"/>
    </row>
    <row r="644" spans="2:13" s="281" customFormat="1" ht="13.5">
      <c r="B644" s="284"/>
      <c r="E644" s="362"/>
      <c r="F644" s="362"/>
      <c r="G644" s="362"/>
      <c r="I644" s="362"/>
      <c r="J644" s="283"/>
      <c r="K644" s="282"/>
      <c r="L644" s="282"/>
      <c r="M644" s="282"/>
    </row>
    <row r="645" spans="1:9" s="272" customFormat="1" ht="40.5" customHeight="1">
      <c r="A645" s="390" t="str">
        <f>ORÇAMENTO!B75</f>
        <v>SINAPI</v>
      </c>
      <c r="B645" s="388" t="str">
        <f>ORÇAMENTO!C75</f>
        <v>95544</v>
      </c>
      <c r="C645" s="252" t="str">
        <f>ORÇAMENTO!D75</f>
        <v>PAPELEIRA DE PAREDE EM METAL CROMADO SEM TAMPA, INCLUSO FIXAÇÃO. AF_01/2020</v>
      </c>
      <c r="D645" s="252"/>
      <c r="E645" s="252"/>
      <c r="F645" s="391" t="s">
        <v>295</v>
      </c>
      <c r="G645" s="396" t="str">
        <f>ORÇAMENTO!E75</f>
        <v>UN</v>
      </c>
      <c r="H645" s="310">
        <f>ORÇAMENTO!L75</f>
        <v>49.17</v>
      </c>
      <c r="I645" s="163" t="s">
        <v>295</v>
      </c>
    </row>
    <row r="646" spans="1:9" s="291" customFormat="1" ht="16.5" customHeight="1">
      <c r="A646" s="391" t="s">
        <v>296</v>
      </c>
      <c r="B646" s="392" t="s">
        <v>102</v>
      </c>
      <c r="C646" s="391" t="s">
        <v>36</v>
      </c>
      <c r="D646" s="399" t="s">
        <v>297</v>
      </c>
      <c r="E646" s="400" t="s">
        <v>26</v>
      </c>
      <c r="F646" s="393" t="s">
        <v>298</v>
      </c>
      <c r="G646" s="393" t="s">
        <v>10</v>
      </c>
      <c r="I646" s="393" t="s">
        <v>298</v>
      </c>
    </row>
    <row r="647" spans="1:9" s="272" customFormat="1" ht="25.5">
      <c r="A647" s="382" t="s">
        <v>197</v>
      </c>
      <c r="B647" s="389" t="s">
        <v>697</v>
      </c>
      <c r="C647" s="383" t="s">
        <v>698</v>
      </c>
      <c r="D647" s="384" t="s">
        <v>214</v>
      </c>
      <c r="E647" s="385">
        <v>1</v>
      </c>
      <c r="F647" s="386">
        <f>ROUND(I647*$I$8,2)</f>
        <v>40.84</v>
      </c>
      <c r="G647" s="387">
        <f>ROUND(E647*F647,2)</f>
        <v>40.84</v>
      </c>
      <c r="I647" s="386">
        <v>40.93</v>
      </c>
    </row>
    <row r="648" spans="1:9" s="272" customFormat="1" ht="25.5">
      <c r="A648" s="382" t="s">
        <v>99</v>
      </c>
      <c r="B648" s="389" t="s">
        <v>522</v>
      </c>
      <c r="C648" s="383" t="s">
        <v>523</v>
      </c>
      <c r="D648" s="384" t="s">
        <v>103</v>
      </c>
      <c r="E648" s="385">
        <v>0.3162</v>
      </c>
      <c r="F648" s="386">
        <f>ROUND(I648*$J$8,2)</f>
        <v>20.52</v>
      </c>
      <c r="G648" s="387">
        <f>ROUND(E648*F648,2)</f>
        <v>6.49</v>
      </c>
      <c r="I648" s="386">
        <v>20.7</v>
      </c>
    </row>
    <row r="649" spans="1:9" s="272" customFormat="1" ht="12.75">
      <c r="A649" s="382" t="s">
        <v>99</v>
      </c>
      <c r="B649" s="389" t="s">
        <v>208</v>
      </c>
      <c r="C649" s="383" t="s">
        <v>209</v>
      </c>
      <c r="D649" s="384" t="s">
        <v>103</v>
      </c>
      <c r="E649" s="385">
        <v>0.0996</v>
      </c>
      <c r="F649" s="386">
        <f>ROUND(I649*$J$8,2)</f>
        <v>16.94</v>
      </c>
      <c r="G649" s="387">
        <f>ROUND(E649*F649,2)</f>
        <v>1.69</v>
      </c>
      <c r="I649" s="386">
        <v>17.09</v>
      </c>
    </row>
    <row r="650" spans="1:14" s="281" customFormat="1" ht="16.5" customHeight="1">
      <c r="A650" s="366" t="s">
        <v>485</v>
      </c>
      <c r="B650" s="365"/>
      <c r="C650" s="365"/>
      <c r="D650" s="365"/>
      <c r="E650" s="365"/>
      <c r="F650" s="364"/>
      <c r="G650" s="397">
        <f>SUM(G647)</f>
        <v>40.84</v>
      </c>
      <c r="H650" s="376"/>
      <c r="I650" s="376"/>
      <c r="J650" s="376"/>
      <c r="K650" s="376"/>
      <c r="L650" s="376"/>
      <c r="M650" s="376"/>
      <c r="N650" s="376"/>
    </row>
    <row r="651" spans="1:14" s="281" customFormat="1" ht="16.5" customHeight="1">
      <c r="A651" s="366" t="s">
        <v>488</v>
      </c>
      <c r="B651" s="365"/>
      <c r="C651" s="365"/>
      <c r="D651" s="365"/>
      <c r="E651" s="365"/>
      <c r="F651" s="364"/>
      <c r="G651" s="397">
        <f>SUM(G648:G649)</f>
        <v>8.18</v>
      </c>
      <c r="H651" s="376"/>
      <c r="I651" s="376"/>
      <c r="J651" s="376"/>
      <c r="K651" s="376"/>
      <c r="L651" s="376"/>
      <c r="M651" s="376"/>
      <c r="N651" s="376"/>
    </row>
    <row r="652" spans="1:14" s="281" customFormat="1" ht="16.5" customHeight="1">
      <c r="A652" s="369" t="s">
        <v>486</v>
      </c>
      <c r="B652" s="368"/>
      <c r="C652" s="368"/>
      <c r="D652" s="368"/>
      <c r="E652" s="368"/>
      <c r="F652" s="367"/>
      <c r="G652" s="398">
        <f>SUM(G650:G651)</f>
        <v>49.02</v>
      </c>
      <c r="H652" s="394"/>
      <c r="I652" s="394"/>
      <c r="J652" s="394"/>
      <c r="K652" s="394"/>
      <c r="L652" s="394"/>
      <c r="M652" s="394"/>
      <c r="N652" s="394"/>
    </row>
    <row r="653" spans="1:14" s="281" customFormat="1" ht="16.5" customHeight="1">
      <c r="A653" s="366" t="s">
        <v>489</v>
      </c>
      <c r="B653" s="365"/>
      <c r="C653" s="365"/>
      <c r="D653" s="365"/>
      <c r="E653" s="365"/>
      <c r="F653" s="364"/>
      <c r="G653" s="397">
        <f>ROUND(G652*$H$8,2)</f>
        <v>14.35</v>
      </c>
      <c r="H653" s="376"/>
      <c r="I653" s="376"/>
      <c r="J653" s="376"/>
      <c r="K653" s="376"/>
      <c r="L653" s="376"/>
      <c r="M653" s="376"/>
      <c r="N653" s="376"/>
    </row>
    <row r="654" spans="1:14" s="281" customFormat="1" ht="16.5" customHeight="1">
      <c r="A654" s="369" t="s">
        <v>487</v>
      </c>
      <c r="B654" s="368"/>
      <c r="C654" s="368"/>
      <c r="D654" s="368"/>
      <c r="E654" s="368"/>
      <c r="F654" s="367"/>
      <c r="G654" s="398">
        <f>SUM(G652:G653)</f>
        <v>63.370000000000005</v>
      </c>
      <c r="H654" s="394"/>
      <c r="I654" s="394"/>
      <c r="J654" s="394"/>
      <c r="K654" s="394"/>
      <c r="L654" s="394"/>
      <c r="M654" s="394"/>
      <c r="N654" s="394"/>
    </row>
    <row r="655" spans="2:13" s="281" customFormat="1" ht="13.5">
      <c r="B655" s="284"/>
      <c r="E655" s="362"/>
      <c r="F655" s="362"/>
      <c r="G655" s="362"/>
      <c r="I655" s="362"/>
      <c r="J655" s="283"/>
      <c r="K655" s="282"/>
      <c r="L655" s="282"/>
      <c r="M655" s="282"/>
    </row>
    <row r="656" spans="1:9" s="272" customFormat="1" ht="44.25" customHeight="1">
      <c r="A656" s="390" t="str">
        <f>ORÇAMENTO!B76</f>
        <v>SINAPI</v>
      </c>
      <c r="B656" s="388" t="str">
        <f>ORÇAMENTO!C76</f>
        <v>100855</v>
      </c>
      <c r="C656" s="252" t="str">
        <f>ORÇAMENTO!D76</f>
        <v>SABONETEIRA DE PAREDE EM PLASTICO ABS COM ACABAMENTO CROMADO E ACRILICO, INCLUSO FIXAÇÃO. AF_01/2020</v>
      </c>
      <c r="D656" s="252"/>
      <c r="E656" s="252"/>
      <c r="F656" s="391" t="s">
        <v>295</v>
      </c>
      <c r="G656" s="396" t="str">
        <f>ORÇAMENTO!E76</f>
        <v>UN</v>
      </c>
      <c r="H656" s="310">
        <f>ORÇAMENTO!L76</f>
        <v>48.14</v>
      </c>
      <c r="I656" s="163" t="s">
        <v>295</v>
      </c>
    </row>
    <row r="657" spans="1:9" s="291" customFormat="1" ht="16.5" customHeight="1">
      <c r="A657" s="391" t="s">
        <v>296</v>
      </c>
      <c r="B657" s="392" t="s">
        <v>102</v>
      </c>
      <c r="C657" s="391" t="s">
        <v>36</v>
      </c>
      <c r="D657" s="399" t="s">
        <v>297</v>
      </c>
      <c r="E657" s="400" t="s">
        <v>26</v>
      </c>
      <c r="F657" s="393" t="s">
        <v>298</v>
      </c>
      <c r="G657" s="393" t="s">
        <v>10</v>
      </c>
      <c r="I657" s="393" t="s">
        <v>298</v>
      </c>
    </row>
    <row r="658" spans="1:9" s="272" customFormat="1" ht="12.75">
      <c r="A658" s="382" t="s">
        <v>197</v>
      </c>
      <c r="B658" s="389" t="s">
        <v>699</v>
      </c>
      <c r="C658" s="383" t="s">
        <v>700</v>
      </c>
      <c r="D658" s="384" t="s">
        <v>214</v>
      </c>
      <c r="E658" s="385">
        <v>1</v>
      </c>
      <c r="F658" s="386">
        <f>ROUND(I658*$I$8,2)</f>
        <v>39.81</v>
      </c>
      <c r="G658" s="387">
        <f>ROUND(E658*F658,2)</f>
        <v>39.81</v>
      </c>
      <c r="I658" s="386">
        <v>39.9</v>
      </c>
    </row>
    <row r="659" spans="1:9" s="272" customFormat="1" ht="25.5">
      <c r="A659" s="382" t="s">
        <v>99</v>
      </c>
      <c r="B659" s="389" t="s">
        <v>522</v>
      </c>
      <c r="C659" s="383" t="s">
        <v>523</v>
      </c>
      <c r="D659" s="384" t="s">
        <v>103</v>
      </c>
      <c r="E659" s="385">
        <v>0.3162</v>
      </c>
      <c r="F659" s="386">
        <f>ROUND(I659*$J$8,2)</f>
        <v>20.52</v>
      </c>
      <c r="G659" s="387">
        <f>ROUND(E659*F659,2)</f>
        <v>6.49</v>
      </c>
      <c r="I659" s="386">
        <v>20.7</v>
      </c>
    </row>
    <row r="660" spans="1:9" s="272" customFormat="1" ht="12.75">
      <c r="A660" s="382" t="s">
        <v>99</v>
      </c>
      <c r="B660" s="389" t="s">
        <v>208</v>
      </c>
      <c r="C660" s="383" t="s">
        <v>209</v>
      </c>
      <c r="D660" s="384" t="s">
        <v>103</v>
      </c>
      <c r="E660" s="385">
        <v>0.0996</v>
      </c>
      <c r="F660" s="386">
        <f>ROUND(I660*$J$8,2)</f>
        <v>16.94</v>
      </c>
      <c r="G660" s="387">
        <f>ROUND(E660*F660,2)</f>
        <v>1.69</v>
      </c>
      <c r="I660" s="386">
        <v>17.09</v>
      </c>
    </row>
    <row r="661" spans="1:14" s="281" customFormat="1" ht="16.5" customHeight="1">
      <c r="A661" s="366" t="s">
        <v>485</v>
      </c>
      <c r="B661" s="365"/>
      <c r="C661" s="365"/>
      <c r="D661" s="365"/>
      <c r="E661" s="365"/>
      <c r="F661" s="364"/>
      <c r="G661" s="397">
        <f>SUM(G658)</f>
        <v>39.81</v>
      </c>
      <c r="H661" s="376"/>
      <c r="I661" s="376"/>
      <c r="J661" s="376"/>
      <c r="K661" s="376"/>
      <c r="L661" s="376"/>
      <c r="M661" s="376"/>
      <c r="N661" s="376"/>
    </row>
    <row r="662" spans="1:14" s="281" customFormat="1" ht="16.5" customHeight="1">
      <c r="A662" s="366" t="s">
        <v>488</v>
      </c>
      <c r="B662" s="365"/>
      <c r="C662" s="365"/>
      <c r="D662" s="365"/>
      <c r="E662" s="365"/>
      <c r="F662" s="364"/>
      <c r="G662" s="397">
        <f>SUM(G659:G660)</f>
        <v>8.18</v>
      </c>
      <c r="H662" s="376"/>
      <c r="I662" s="376"/>
      <c r="J662" s="376"/>
      <c r="K662" s="376"/>
      <c r="L662" s="376"/>
      <c r="M662" s="376"/>
      <c r="N662" s="376"/>
    </row>
    <row r="663" spans="1:14" s="281" customFormat="1" ht="16.5" customHeight="1">
      <c r="A663" s="369" t="s">
        <v>486</v>
      </c>
      <c r="B663" s="368"/>
      <c r="C663" s="368"/>
      <c r="D663" s="368"/>
      <c r="E663" s="368"/>
      <c r="F663" s="367"/>
      <c r="G663" s="398">
        <f>SUM(G661:G662)</f>
        <v>47.99</v>
      </c>
      <c r="H663" s="394"/>
      <c r="I663" s="394"/>
      <c r="J663" s="394"/>
      <c r="K663" s="394"/>
      <c r="L663" s="394"/>
      <c r="M663" s="394"/>
      <c r="N663" s="394"/>
    </row>
    <row r="664" spans="1:14" s="281" customFormat="1" ht="16.5" customHeight="1">
      <c r="A664" s="366" t="s">
        <v>489</v>
      </c>
      <c r="B664" s="365"/>
      <c r="C664" s="365"/>
      <c r="D664" s="365"/>
      <c r="E664" s="365"/>
      <c r="F664" s="364"/>
      <c r="G664" s="397">
        <f>ROUND(G663*$H$8,2)</f>
        <v>14.05</v>
      </c>
      <c r="H664" s="376"/>
      <c r="I664" s="376"/>
      <c r="J664" s="376"/>
      <c r="K664" s="376"/>
      <c r="L664" s="376"/>
      <c r="M664" s="376"/>
      <c r="N664" s="376"/>
    </row>
    <row r="665" spans="1:14" s="281" customFormat="1" ht="16.5" customHeight="1">
      <c r="A665" s="369" t="s">
        <v>487</v>
      </c>
      <c r="B665" s="368"/>
      <c r="C665" s="368"/>
      <c r="D665" s="368"/>
      <c r="E665" s="368"/>
      <c r="F665" s="367"/>
      <c r="G665" s="398">
        <f>SUM(G663:G664)</f>
        <v>62.040000000000006</v>
      </c>
      <c r="H665" s="394"/>
      <c r="I665" s="394"/>
      <c r="J665" s="394"/>
      <c r="K665" s="394"/>
      <c r="L665" s="394"/>
      <c r="M665" s="394"/>
      <c r="N665" s="394"/>
    </row>
    <row r="666" spans="2:13" s="281" customFormat="1" ht="13.5">
      <c r="B666" s="284"/>
      <c r="E666" s="362"/>
      <c r="F666" s="362"/>
      <c r="G666" s="362"/>
      <c r="I666" s="362"/>
      <c r="J666" s="283"/>
      <c r="K666" s="282"/>
      <c r="L666" s="282"/>
      <c r="M666" s="282"/>
    </row>
    <row r="667" spans="1:9" s="272" customFormat="1" ht="44.25" customHeight="1">
      <c r="A667" s="390" t="str">
        <f>ORÇAMENTO!B77</f>
        <v>SINAPI</v>
      </c>
      <c r="B667" s="388" t="str">
        <f>ORÇAMENTO!C77</f>
        <v>89709</v>
      </c>
      <c r="C667" s="252" t="str">
        <f>ORÇAMENTO!D77</f>
        <v>RALO SIFONADO, PVC, DN 100 X 40 MM, JUNTA SOLDÁVEL, FORNECIDO E INSTALADO EM RAMAL DE DESCARGA OU EM RAMAL DE ESGOTO SANITÁRIO. AF_12/2014</v>
      </c>
      <c r="D667" s="252"/>
      <c r="E667" s="252"/>
      <c r="F667" s="391" t="s">
        <v>295</v>
      </c>
      <c r="G667" s="396" t="str">
        <f>ORÇAMENTO!E77</f>
        <v>UN</v>
      </c>
      <c r="H667" s="310">
        <f>ORÇAMENTO!L77</f>
        <v>15.15</v>
      </c>
      <c r="I667" s="163" t="s">
        <v>295</v>
      </c>
    </row>
    <row r="668" spans="1:9" s="291" customFormat="1" ht="16.5" customHeight="1">
      <c r="A668" s="391" t="s">
        <v>296</v>
      </c>
      <c r="B668" s="392" t="s">
        <v>102</v>
      </c>
      <c r="C668" s="391" t="s">
        <v>36</v>
      </c>
      <c r="D668" s="399" t="s">
        <v>297</v>
      </c>
      <c r="E668" s="400" t="s">
        <v>26</v>
      </c>
      <c r="F668" s="393" t="s">
        <v>298</v>
      </c>
      <c r="G668" s="393" t="s">
        <v>10</v>
      </c>
      <c r="I668" s="393" t="s">
        <v>298</v>
      </c>
    </row>
    <row r="669" spans="1:9" s="272" customFormat="1" ht="12.75">
      <c r="A669" s="382" t="s">
        <v>197</v>
      </c>
      <c r="B669" s="389" t="s">
        <v>701</v>
      </c>
      <c r="C669" s="383" t="s">
        <v>702</v>
      </c>
      <c r="D669" s="384" t="s">
        <v>214</v>
      </c>
      <c r="E669" s="385">
        <v>0.0049</v>
      </c>
      <c r="F669" s="386">
        <f>ROUND(I669*$I$8,2)</f>
        <v>61.41</v>
      </c>
      <c r="G669" s="387">
        <f aca="true" t="shared" si="22" ref="G669:G674">ROUND(E669*F669,2)</f>
        <v>0.3</v>
      </c>
      <c r="I669" s="386">
        <v>61.55</v>
      </c>
    </row>
    <row r="670" spans="1:9" s="272" customFormat="1" ht="25.5">
      <c r="A670" s="382" t="s">
        <v>197</v>
      </c>
      <c r="B670" s="389" t="s">
        <v>703</v>
      </c>
      <c r="C670" s="383" t="s">
        <v>704</v>
      </c>
      <c r="D670" s="384" t="s">
        <v>214</v>
      </c>
      <c r="E670" s="385">
        <v>1</v>
      </c>
      <c r="F670" s="386">
        <f>ROUND(I670*$I$8,2)</f>
        <v>11.66</v>
      </c>
      <c r="G670" s="387">
        <f t="shared" si="22"/>
        <v>11.66</v>
      </c>
      <c r="I670" s="386">
        <v>11.69</v>
      </c>
    </row>
    <row r="671" spans="1:9" s="272" customFormat="1" ht="25.5">
      <c r="A671" s="382" t="s">
        <v>197</v>
      </c>
      <c r="B671" s="389" t="s">
        <v>705</v>
      </c>
      <c r="C671" s="383" t="s">
        <v>706</v>
      </c>
      <c r="D671" s="384" t="s">
        <v>214</v>
      </c>
      <c r="E671" s="385">
        <v>0.0075</v>
      </c>
      <c r="F671" s="386">
        <f>ROUND(I671*$I$8,2)</f>
        <v>69.58</v>
      </c>
      <c r="G671" s="387">
        <f t="shared" si="22"/>
        <v>0.52</v>
      </c>
      <c r="I671" s="386">
        <v>69.74</v>
      </c>
    </row>
    <row r="672" spans="1:9" s="272" customFormat="1" ht="12.75">
      <c r="A672" s="382" t="s">
        <v>197</v>
      </c>
      <c r="B672" s="389" t="s">
        <v>707</v>
      </c>
      <c r="C672" s="383" t="s">
        <v>708</v>
      </c>
      <c r="D672" s="384" t="s">
        <v>214</v>
      </c>
      <c r="E672" s="385">
        <v>0.017</v>
      </c>
      <c r="F672" s="386">
        <f>ROUND(I672*$I$8,2)</f>
        <v>1.59</v>
      </c>
      <c r="G672" s="387">
        <f t="shared" si="22"/>
        <v>0.03</v>
      </c>
      <c r="I672" s="386">
        <v>1.59</v>
      </c>
    </row>
    <row r="673" spans="1:9" s="272" customFormat="1" ht="25.5">
      <c r="A673" s="382" t="s">
        <v>99</v>
      </c>
      <c r="B673" s="389" t="s">
        <v>709</v>
      </c>
      <c r="C673" s="383" t="s">
        <v>710</v>
      </c>
      <c r="D673" s="384" t="s">
        <v>103</v>
      </c>
      <c r="E673" s="385">
        <v>0.07</v>
      </c>
      <c r="F673" s="386">
        <f>ROUND(I673*$J$8,2)</f>
        <v>16.85</v>
      </c>
      <c r="G673" s="387">
        <f t="shared" si="22"/>
        <v>1.18</v>
      </c>
      <c r="I673" s="386">
        <v>16.99</v>
      </c>
    </row>
    <row r="674" spans="1:9" s="272" customFormat="1" ht="25.5">
      <c r="A674" s="382" t="s">
        <v>99</v>
      </c>
      <c r="B674" s="389" t="s">
        <v>522</v>
      </c>
      <c r="C674" s="383" t="s">
        <v>523</v>
      </c>
      <c r="D674" s="384" t="s">
        <v>103</v>
      </c>
      <c r="E674" s="385">
        <v>0.07</v>
      </c>
      <c r="F674" s="386">
        <f>ROUND(I674*$J$8,2)</f>
        <v>20.52</v>
      </c>
      <c r="G674" s="387">
        <f t="shared" si="22"/>
        <v>1.44</v>
      </c>
      <c r="I674" s="386">
        <v>20.7</v>
      </c>
    </row>
    <row r="675" spans="1:14" s="281" customFormat="1" ht="16.5" customHeight="1">
      <c r="A675" s="366" t="s">
        <v>485</v>
      </c>
      <c r="B675" s="365"/>
      <c r="C675" s="365"/>
      <c r="D675" s="365"/>
      <c r="E675" s="365"/>
      <c r="F675" s="364"/>
      <c r="G675" s="397">
        <f>SUM(G669:G672)</f>
        <v>12.51</v>
      </c>
      <c r="H675" s="376"/>
      <c r="I675" s="376"/>
      <c r="J675" s="376"/>
      <c r="K675" s="376"/>
      <c r="L675" s="376"/>
      <c r="M675" s="376"/>
      <c r="N675" s="376"/>
    </row>
    <row r="676" spans="1:14" s="281" customFormat="1" ht="16.5" customHeight="1">
      <c r="A676" s="366" t="s">
        <v>488</v>
      </c>
      <c r="B676" s="365"/>
      <c r="C676" s="365"/>
      <c r="D676" s="365"/>
      <c r="E676" s="365"/>
      <c r="F676" s="364"/>
      <c r="G676" s="397">
        <f>SUM(G673:G674)</f>
        <v>2.62</v>
      </c>
      <c r="H676" s="376"/>
      <c r="I676" s="376"/>
      <c r="J676" s="376"/>
      <c r="K676" s="376"/>
      <c r="L676" s="376"/>
      <c r="M676" s="376"/>
      <c r="N676" s="376"/>
    </row>
    <row r="677" spans="1:14" s="281" customFormat="1" ht="16.5" customHeight="1">
      <c r="A677" s="369" t="s">
        <v>486</v>
      </c>
      <c r="B677" s="368"/>
      <c r="C677" s="368"/>
      <c r="D677" s="368"/>
      <c r="E677" s="368"/>
      <c r="F677" s="367"/>
      <c r="G677" s="398">
        <f>SUM(G675:G676)</f>
        <v>15.129999999999999</v>
      </c>
      <c r="H677" s="394"/>
      <c r="I677" s="394"/>
      <c r="J677" s="394"/>
      <c r="K677" s="394"/>
      <c r="L677" s="394"/>
      <c r="M677" s="394"/>
      <c r="N677" s="394"/>
    </row>
    <row r="678" spans="1:14" s="281" customFormat="1" ht="16.5" customHeight="1">
      <c r="A678" s="366" t="s">
        <v>489</v>
      </c>
      <c r="B678" s="365"/>
      <c r="C678" s="365"/>
      <c r="D678" s="365"/>
      <c r="E678" s="365"/>
      <c r="F678" s="364"/>
      <c r="G678" s="397">
        <f>ROUND(G677*$H$8,2)</f>
        <v>4.43</v>
      </c>
      <c r="H678" s="376"/>
      <c r="I678" s="376"/>
      <c r="J678" s="376"/>
      <c r="K678" s="376"/>
      <c r="L678" s="376"/>
      <c r="M678" s="376"/>
      <c r="N678" s="376"/>
    </row>
    <row r="679" spans="1:14" s="281" customFormat="1" ht="16.5" customHeight="1">
      <c r="A679" s="369" t="s">
        <v>487</v>
      </c>
      <c r="B679" s="368"/>
      <c r="C679" s="368"/>
      <c r="D679" s="368"/>
      <c r="E679" s="368"/>
      <c r="F679" s="367"/>
      <c r="G679" s="398">
        <f>SUM(G677:G678)</f>
        <v>19.56</v>
      </c>
      <c r="H679" s="394"/>
      <c r="I679" s="394"/>
      <c r="J679" s="394"/>
      <c r="K679" s="394"/>
      <c r="L679" s="394"/>
      <c r="M679" s="394"/>
      <c r="N679" s="394"/>
    </row>
    <row r="680" spans="2:13" s="281" customFormat="1" ht="13.5">
      <c r="B680" s="284"/>
      <c r="E680" s="362"/>
      <c r="F680" s="362"/>
      <c r="G680" s="362"/>
      <c r="I680" s="362"/>
      <c r="J680" s="283"/>
      <c r="K680" s="282"/>
      <c r="L680" s="282"/>
      <c r="M680" s="282"/>
    </row>
    <row r="681" spans="1:9" s="272" customFormat="1" ht="44.25" customHeight="1">
      <c r="A681" s="390" t="str">
        <f>ORÇAMENTO!B78</f>
        <v>CPU</v>
      </c>
      <c r="B681" s="388" t="str">
        <f>ORÇAMENTO!C78</f>
        <v>16</v>
      </c>
      <c r="C681" s="252" t="str">
        <f>ORÇAMENTO!D78</f>
        <v>REVISÃO DE PONTO DE CONSUMO TERMINAL DE ÁGUA FRIA (SUBRAMAL) COM TUBULAÇÃO DE PVC, DN 25 MM, INSTALADO EM RAMAL DE ÁGUA</v>
      </c>
      <c r="D681" s="252"/>
      <c r="E681" s="252"/>
      <c r="F681" s="391" t="s">
        <v>295</v>
      </c>
      <c r="G681" s="396" t="str">
        <f>ORÇAMENTO!E78</f>
        <v>UN    </v>
      </c>
      <c r="H681" s="310">
        <f>ORÇAMENTO!L78</f>
        <v>48.86</v>
      </c>
      <c r="I681" s="163" t="s">
        <v>295</v>
      </c>
    </row>
    <row r="682" spans="1:9" s="291" customFormat="1" ht="16.5" customHeight="1">
      <c r="A682" s="391" t="s">
        <v>296</v>
      </c>
      <c r="B682" s="392" t="s">
        <v>102</v>
      </c>
      <c r="C682" s="391" t="s">
        <v>36</v>
      </c>
      <c r="D682" s="399" t="s">
        <v>297</v>
      </c>
      <c r="E682" s="400" t="s">
        <v>26</v>
      </c>
      <c r="F682" s="393" t="s">
        <v>298</v>
      </c>
      <c r="G682" s="393" t="s">
        <v>10</v>
      </c>
      <c r="I682" s="393" t="s">
        <v>298</v>
      </c>
    </row>
    <row r="683" spans="1:9" ht="51">
      <c r="A683" s="164" t="s">
        <v>99</v>
      </c>
      <c r="B683" s="165" t="s">
        <v>478</v>
      </c>
      <c r="C683" s="166" t="s">
        <v>479</v>
      </c>
      <c r="D683" s="167" t="s">
        <v>179</v>
      </c>
      <c r="E683" s="168">
        <v>0.4</v>
      </c>
      <c r="F683" s="386">
        <f>ROUND(I683*$I$8,2)</f>
        <v>121.86</v>
      </c>
      <c r="G683" s="169">
        <f>ROUND(E683*F683,2)</f>
        <v>48.74</v>
      </c>
      <c r="I683" s="386">
        <v>122.14</v>
      </c>
    </row>
    <row r="684" spans="1:14" s="281" customFormat="1" ht="16.5" customHeight="1">
      <c r="A684" s="366" t="s">
        <v>485</v>
      </c>
      <c r="B684" s="365"/>
      <c r="C684" s="365"/>
      <c r="D684" s="365"/>
      <c r="E684" s="365"/>
      <c r="F684" s="364"/>
      <c r="G684" s="397">
        <f>ROUND(G683*0.6,2)</f>
        <v>29.24</v>
      </c>
      <c r="H684" s="376"/>
      <c r="I684" s="376"/>
      <c r="K684" s="376"/>
      <c r="L684" s="376"/>
      <c r="M684" s="376"/>
      <c r="N684" s="376"/>
    </row>
    <row r="685" spans="1:14" s="281" customFormat="1" ht="16.5" customHeight="1">
      <c r="A685" s="366" t="s">
        <v>488</v>
      </c>
      <c r="B685" s="365"/>
      <c r="C685" s="365"/>
      <c r="D685" s="365"/>
      <c r="E685" s="365"/>
      <c r="F685" s="364"/>
      <c r="G685" s="397">
        <f>ROUND(G683*0.4,2)</f>
        <v>19.5</v>
      </c>
      <c r="H685" s="376"/>
      <c r="I685" s="376"/>
      <c r="J685" s="376"/>
      <c r="K685" s="376"/>
      <c r="L685" s="376"/>
      <c r="M685" s="376"/>
      <c r="N685" s="376"/>
    </row>
    <row r="686" spans="1:14" s="281" customFormat="1" ht="16.5" customHeight="1">
      <c r="A686" s="369" t="s">
        <v>486</v>
      </c>
      <c r="B686" s="368"/>
      <c r="C686" s="368"/>
      <c r="D686" s="368"/>
      <c r="E686" s="368"/>
      <c r="F686" s="367"/>
      <c r="G686" s="398">
        <f>SUM(G684:G685)</f>
        <v>48.739999999999995</v>
      </c>
      <c r="H686" s="394"/>
      <c r="I686" s="394"/>
      <c r="J686" s="394"/>
      <c r="K686" s="394"/>
      <c r="L686" s="394"/>
      <c r="M686" s="394"/>
      <c r="N686" s="394"/>
    </row>
    <row r="687" spans="1:14" s="281" customFormat="1" ht="16.5" customHeight="1">
      <c r="A687" s="366" t="s">
        <v>489</v>
      </c>
      <c r="B687" s="365"/>
      <c r="C687" s="365"/>
      <c r="D687" s="365"/>
      <c r="E687" s="365"/>
      <c r="F687" s="364"/>
      <c r="G687" s="397">
        <f>ROUND(G686*$H$8,2)</f>
        <v>14.27</v>
      </c>
      <c r="H687" s="376"/>
      <c r="I687" s="376"/>
      <c r="J687" s="376"/>
      <c r="K687" s="376"/>
      <c r="L687" s="376"/>
      <c r="M687" s="376"/>
      <c r="N687" s="376"/>
    </row>
    <row r="688" spans="1:14" s="281" customFormat="1" ht="16.5" customHeight="1">
      <c r="A688" s="369" t="s">
        <v>487</v>
      </c>
      <c r="B688" s="368"/>
      <c r="C688" s="368"/>
      <c r="D688" s="368"/>
      <c r="E688" s="368"/>
      <c r="F688" s="367"/>
      <c r="G688" s="398">
        <f>SUM(G686:G687)</f>
        <v>63.00999999999999</v>
      </c>
      <c r="H688" s="394"/>
      <c r="I688" s="394"/>
      <c r="J688" s="394"/>
      <c r="K688" s="394"/>
      <c r="L688" s="394"/>
      <c r="M688" s="394"/>
      <c r="N688" s="394"/>
    </row>
    <row r="689" spans="2:13" s="124" customFormat="1" ht="15" customHeight="1">
      <c r="B689" s="142"/>
      <c r="E689" s="204"/>
      <c r="F689" s="204"/>
      <c r="G689" s="204"/>
      <c r="I689" s="281"/>
      <c r="J689" s="133"/>
      <c r="K689" s="132"/>
      <c r="L689" s="132"/>
      <c r="M689" s="132"/>
    </row>
    <row r="690" spans="1:9" s="272" customFormat="1" ht="44.25" customHeight="1">
      <c r="A690" s="390" t="str">
        <f>ORÇAMENTO!B79</f>
        <v>SINAPI</v>
      </c>
      <c r="B690" s="388" t="str">
        <f>ORÇAMENTO!C79</f>
        <v>97906</v>
      </c>
      <c r="C690" s="252" t="str">
        <f>ORÇAMENTO!D79</f>
        <v>CAIXA ENTERRADA HIDRÁULICA RETANGULAR, EM ALVENARIA COM BLOCOS DE CONCRETO, DIMENSÕES INTERNAS: 0,6X0,6X0,6 M PARA REDE DE ESGOTO. AF_12/2020</v>
      </c>
      <c r="D690" s="252"/>
      <c r="E690" s="252"/>
      <c r="F690" s="391" t="s">
        <v>295</v>
      </c>
      <c r="G690" s="396" t="str">
        <f>ORÇAMENTO!E79</f>
        <v>UN</v>
      </c>
      <c r="H690" s="310">
        <f>ORÇAMENTO!L79</f>
        <v>418.04</v>
      </c>
      <c r="I690" s="163" t="s">
        <v>295</v>
      </c>
    </row>
    <row r="691" spans="1:9" s="291" customFormat="1" ht="16.5" customHeight="1">
      <c r="A691" s="391" t="s">
        <v>296</v>
      </c>
      <c r="B691" s="392" t="s">
        <v>102</v>
      </c>
      <c r="C691" s="391" t="s">
        <v>36</v>
      </c>
      <c r="D691" s="399" t="s">
        <v>297</v>
      </c>
      <c r="E691" s="400" t="s">
        <v>26</v>
      </c>
      <c r="F691" s="393" t="s">
        <v>298</v>
      </c>
      <c r="G691" s="393" t="s">
        <v>10</v>
      </c>
      <c r="I691" s="393" t="s">
        <v>298</v>
      </c>
    </row>
    <row r="692" spans="1:9" s="363" customFormat="1" ht="25.5">
      <c r="A692" s="382" t="s">
        <v>197</v>
      </c>
      <c r="B692" s="389" t="s">
        <v>661</v>
      </c>
      <c r="C692" s="383" t="s">
        <v>662</v>
      </c>
      <c r="D692" s="384" t="s">
        <v>214</v>
      </c>
      <c r="E692" s="385">
        <v>22.4145</v>
      </c>
      <c r="F692" s="386">
        <f>$F$585</f>
        <v>2.57</v>
      </c>
      <c r="G692" s="387">
        <f aca="true" t="shared" si="23" ref="G692:G701">ROUND(E692*F692,2)</f>
        <v>57.61</v>
      </c>
      <c r="I692" s="386">
        <v>2.58</v>
      </c>
    </row>
    <row r="693" spans="1:9" s="363" customFormat="1" ht="76.5">
      <c r="A693" s="382" t="s">
        <v>99</v>
      </c>
      <c r="B693" s="389" t="s">
        <v>711</v>
      </c>
      <c r="C693" s="383" t="s">
        <v>712</v>
      </c>
      <c r="D693" s="384" t="s">
        <v>213</v>
      </c>
      <c r="E693" s="385">
        <v>0.0087</v>
      </c>
      <c r="F693" s="386">
        <f>ROUND(I693*$I$8,2)</f>
        <v>118.88</v>
      </c>
      <c r="G693" s="387">
        <f t="shared" si="23"/>
        <v>1.03</v>
      </c>
      <c r="I693" s="386">
        <v>119.15</v>
      </c>
    </row>
    <row r="694" spans="1:9" s="363" customFormat="1" ht="76.5">
      <c r="A694" s="382" t="s">
        <v>99</v>
      </c>
      <c r="B694" s="389" t="s">
        <v>713</v>
      </c>
      <c r="C694" s="383" t="s">
        <v>714</v>
      </c>
      <c r="D694" s="384" t="s">
        <v>509</v>
      </c>
      <c r="E694" s="385">
        <v>0.0294</v>
      </c>
      <c r="F694" s="386">
        <f>ROUND(I694*$I$8,2)</f>
        <v>44.08</v>
      </c>
      <c r="G694" s="387">
        <f t="shared" si="23"/>
        <v>1.3</v>
      </c>
      <c r="I694" s="386">
        <v>44.18</v>
      </c>
    </row>
    <row r="695" spans="1:9" s="363" customFormat="1" ht="51">
      <c r="A695" s="382" t="s">
        <v>99</v>
      </c>
      <c r="B695" s="389" t="s">
        <v>663</v>
      </c>
      <c r="C695" s="383" t="s">
        <v>664</v>
      </c>
      <c r="D695" s="384" t="s">
        <v>180</v>
      </c>
      <c r="E695" s="385">
        <v>0.0014</v>
      </c>
      <c r="F695" s="386">
        <f>$F$586</f>
        <v>482.96</v>
      </c>
      <c r="G695" s="387">
        <f t="shared" si="23"/>
        <v>0.68</v>
      </c>
      <c r="I695" s="386">
        <v>484.07</v>
      </c>
    </row>
    <row r="696" spans="1:9" s="363" customFormat="1" ht="12.75">
      <c r="A696" s="382" t="s">
        <v>99</v>
      </c>
      <c r="B696" s="389" t="s">
        <v>448</v>
      </c>
      <c r="C696" s="383" t="s">
        <v>449</v>
      </c>
      <c r="D696" s="384" t="s">
        <v>103</v>
      </c>
      <c r="E696" s="385">
        <v>4.223</v>
      </c>
      <c r="F696" s="386">
        <f>ROUND(I696*$J$8,2)</f>
        <v>21.13</v>
      </c>
      <c r="G696" s="387">
        <f t="shared" si="23"/>
        <v>89.23</v>
      </c>
      <c r="I696" s="386">
        <v>21.31</v>
      </c>
    </row>
    <row r="697" spans="1:9" s="363" customFormat="1" ht="12.75">
      <c r="A697" s="382" t="s">
        <v>99</v>
      </c>
      <c r="B697" s="389" t="s">
        <v>208</v>
      </c>
      <c r="C697" s="383" t="s">
        <v>209</v>
      </c>
      <c r="D697" s="384" t="s">
        <v>103</v>
      </c>
      <c r="E697" s="385">
        <v>4.223</v>
      </c>
      <c r="F697" s="386">
        <f>ROUND(I697*$J$8,2)</f>
        <v>16.94</v>
      </c>
      <c r="G697" s="387">
        <f t="shared" si="23"/>
        <v>71.54</v>
      </c>
      <c r="I697" s="386">
        <v>17.09</v>
      </c>
    </row>
    <row r="698" spans="1:9" s="363" customFormat="1" ht="38.25">
      <c r="A698" s="382" t="s">
        <v>99</v>
      </c>
      <c r="B698" s="389" t="s">
        <v>715</v>
      </c>
      <c r="C698" s="383" t="s">
        <v>716</v>
      </c>
      <c r="D698" s="384" t="s">
        <v>180</v>
      </c>
      <c r="E698" s="385">
        <v>0.0744</v>
      </c>
      <c r="F698" s="386">
        <f>ROUND(I698*$I$8,2)</f>
        <v>481.64</v>
      </c>
      <c r="G698" s="387">
        <f t="shared" si="23"/>
        <v>35.83</v>
      </c>
      <c r="I698" s="386">
        <v>482.75</v>
      </c>
    </row>
    <row r="699" spans="1:9" s="363" customFormat="1" ht="38.25">
      <c r="A699" s="382" t="s">
        <v>99</v>
      </c>
      <c r="B699" s="389" t="s">
        <v>717</v>
      </c>
      <c r="C699" s="383" t="s">
        <v>718</v>
      </c>
      <c r="D699" s="384" t="s">
        <v>180</v>
      </c>
      <c r="E699" s="385">
        <v>0.0448</v>
      </c>
      <c r="F699" s="386">
        <f>ROUND(I699*$I$8,2)</f>
        <v>2218.33</v>
      </c>
      <c r="G699" s="387">
        <f t="shared" si="23"/>
        <v>99.38</v>
      </c>
      <c r="I699" s="386">
        <v>2223.44</v>
      </c>
    </row>
    <row r="700" spans="1:9" s="363" customFormat="1" ht="51">
      <c r="A700" s="382" t="s">
        <v>99</v>
      </c>
      <c r="B700" s="389" t="s">
        <v>719</v>
      </c>
      <c r="C700" s="383" t="s">
        <v>720</v>
      </c>
      <c r="D700" s="384" t="s">
        <v>180</v>
      </c>
      <c r="E700" s="385">
        <v>0.0728</v>
      </c>
      <c r="F700" s="386">
        <f>ROUND(I700*$I$8,2)</f>
        <v>761.37</v>
      </c>
      <c r="G700" s="387">
        <f t="shared" si="23"/>
        <v>55.43</v>
      </c>
      <c r="I700" s="386">
        <v>763.13</v>
      </c>
    </row>
    <row r="701" spans="1:9" s="363" customFormat="1" ht="25.5">
      <c r="A701" s="382" t="s">
        <v>99</v>
      </c>
      <c r="B701" s="389" t="s">
        <v>721</v>
      </c>
      <c r="C701" s="383" t="s">
        <v>722</v>
      </c>
      <c r="D701" s="384" t="s">
        <v>177</v>
      </c>
      <c r="E701" s="385">
        <v>0.81</v>
      </c>
      <c r="F701" s="386">
        <f>ROUND(I701*$J$8,2)</f>
        <v>4.91</v>
      </c>
      <c r="G701" s="387">
        <f t="shared" si="23"/>
        <v>3.98</v>
      </c>
      <c r="I701" s="386">
        <v>4.95</v>
      </c>
    </row>
    <row r="702" spans="1:14" s="281" customFormat="1" ht="16.5" customHeight="1">
      <c r="A702" s="366" t="s">
        <v>485</v>
      </c>
      <c r="B702" s="365"/>
      <c r="C702" s="365"/>
      <c r="D702" s="365"/>
      <c r="E702" s="365"/>
      <c r="F702" s="364"/>
      <c r="G702" s="397">
        <f>SUM(G692:G695,G698:G700)</f>
        <v>251.26</v>
      </c>
      <c r="H702" s="376"/>
      <c r="I702" s="376"/>
      <c r="J702" s="376"/>
      <c r="K702" s="376"/>
      <c r="L702" s="376"/>
      <c r="M702" s="376"/>
      <c r="N702" s="376"/>
    </row>
    <row r="703" spans="1:14" s="281" customFormat="1" ht="16.5" customHeight="1">
      <c r="A703" s="366" t="s">
        <v>488</v>
      </c>
      <c r="B703" s="365"/>
      <c r="C703" s="365"/>
      <c r="D703" s="365"/>
      <c r="E703" s="365"/>
      <c r="F703" s="364"/>
      <c r="G703" s="397">
        <f>SUM(G701,G696:G697)</f>
        <v>164.75</v>
      </c>
      <c r="H703" s="376"/>
      <c r="I703" s="376"/>
      <c r="J703" s="376"/>
      <c r="K703" s="376"/>
      <c r="L703" s="376"/>
      <c r="M703" s="376"/>
      <c r="N703" s="376"/>
    </row>
    <row r="704" spans="1:14" s="281" customFormat="1" ht="16.5" customHeight="1">
      <c r="A704" s="369" t="s">
        <v>486</v>
      </c>
      <c r="B704" s="368"/>
      <c r="C704" s="368"/>
      <c r="D704" s="368"/>
      <c r="E704" s="368"/>
      <c r="F704" s="367"/>
      <c r="G704" s="398">
        <f>SUM(G702:G703)</f>
        <v>416.01</v>
      </c>
      <c r="H704" s="394"/>
      <c r="I704" s="394"/>
      <c r="J704" s="394"/>
      <c r="K704" s="394"/>
      <c r="L704" s="394"/>
      <c r="M704" s="394"/>
      <c r="N704" s="394"/>
    </row>
    <row r="705" spans="1:14" s="281" customFormat="1" ht="16.5" customHeight="1">
      <c r="A705" s="366" t="s">
        <v>489</v>
      </c>
      <c r="B705" s="365"/>
      <c r="C705" s="365"/>
      <c r="D705" s="365"/>
      <c r="E705" s="365"/>
      <c r="F705" s="364"/>
      <c r="G705" s="397">
        <f>ROUND(G704*$H$8,2)</f>
        <v>121.77</v>
      </c>
      <c r="H705" s="376"/>
      <c r="I705" s="376"/>
      <c r="J705" s="376"/>
      <c r="K705" s="376"/>
      <c r="L705" s="376"/>
      <c r="M705" s="376"/>
      <c r="N705" s="376"/>
    </row>
    <row r="706" spans="1:14" s="281" customFormat="1" ht="16.5" customHeight="1">
      <c r="A706" s="369" t="s">
        <v>487</v>
      </c>
      <c r="B706" s="368"/>
      <c r="C706" s="368"/>
      <c r="D706" s="368"/>
      <c r="E706" s="368"/>
      <c r="F706" s="367"/>
      <c r="G706" s="398">
        <f>SUM(G704:G705)</f>
        <v>537.78</v>
      </c>
      <c r="H706" s="394"/>
      <c r="I706" s="394"/>
      <c r="J706" s="394"/>
      <c r="K706" s="394"/>
      <c r="L706" s="394"/>
      <c r="M706" s="394"/>
      <c r="N706" s="394"/>
    </row>
    <row r="707" spans="2:13" s="281" customFormat="1" ht="13.5">
      <c r="B707" s="284"/>
      <c r="E707" s="362"/>
      <c r="F707" s="362"/>
      <c r="G707" s="362"/>
      <c r="I707" s="362"/>
      <c r="J707" s="283"/>
      <c r="K707" s="282"/>
      <c r="L707" s="282"/>
      <c r="M707" s="282"/>
    </row>
    <row r="708" spans="1:9" s="272" customFormat="1" ht="44.25" customHeight="1">
      <c r="A708" s="390" t="str">
        <f>ORÇAMENTO!B81</f>
        <v>SINAPI</v>
      </c>
      <c r="B708" s="388" t="str">
        <f>ORÇAMENTO!C81</f>
        <v>98516</v>
      </c>
      <c r="C708" s="252" t="str">
        <f>ORÇAMENTO!D81</f>
        <v>PLANTIO DE PALMEIRA COM ALTURA DE MUDA MENOR OU IGUAL A 2,00 M. AF_05/2018</v>
      </c>
      <c r="D708" s="252"/>
      <c r="E708" s="252"/>
      <c r="F708" s="391" t="s">
        <v>295</v>
      </c>
      <c r="G708" s="396" t="str">
        <f>ORÇAMENTO!E81</f>
        <v>UN</v>
      </c>
      <c r="H708" s="310">
        <f>ORÇAMENTO!L81</f>
        <v>294.25</v>
      </c>
      <c r="I708" s="163" t="s">
        <v>295</v>
      </c>
    </row>
    <row r="709" spans="1:9" s="291" customFormat="1" ht="16.5" customHeight="1">
      <c r="A709" s="391" t="s">
        <v>296</v>
      </c>
      <c r="B709" s="392" t="s">
        <v>102</v>
      </c>
      <c r="C709" s="391" t="s">
        <v>36</v>
      </c>
      <c r="D709" s="399" t="s">
        <v>297</v>
      </c>
      <c r="E709" s="400" t="s">
        <v>26</v>
      </c>
      <c r="F709" s="393" t="s">
        <v>298</v>
      </c>
      <c r="G709" s="393" t="s">
        <v>10</v>
      </c>
      <c r="I709" s="393" t="s">
        <v>298</v>
      </c>
    </row>
    <row r="710" spans="1:9" s="272" customFormat="1" ht="12.75">
      <c r="A710" s="382" t="s">
        <v>197</v>
      </c>
      <c r="B710" s="389" t="s">
        <v>723</v>
      </c>
      <c r="C710" s="383" t="s">
        <v>724</v>
      </c>
      <c r="D710" s="384" t="s">
        <v>214</v>
      </c>
      <c r="E710" s="385">
        <v>1</v>
      </c>
      <c r="F710" s="386">
        <f>ROUND(I710*$I$8,2)</f>
        <v>86</v>
      </c>
      <c r="G710" s="387">
        <f>ROUND(E710*F710,2)</f>
        <v>86</v>
      </c>
      <c r="I710" s="386">
        <v>86.2</v>
      </c>
    </row>
    <row r="711" spans="1:9" s="272" customFormat="1" ht="12.75">
      <c r="A711" s="382" t="s">
        <v>99</v>
      </c>
      <c r="B711" s="389" t="s">
        <v>208</v>
      </c>
      <c r="C711" s="383" t="s">
        <v>209</v>
      </c>
      <c r="D711" s="384" t="s">
        <v>103</v>
      </c>
      <c r="E711" s="385">
        <v>4.362</v>
      </c>
      <c r="F711" s="386">
        <f>ROUND(I711*$J$8,2)</f>
        <v>16.94</v>
      </c>
      <c r="G711" s="387">
        <f>ROUND(E711*F711,2)</f>
        <v>73.89</v>
      </c>
      <c r="I711" s="386">
        <v>17.09</v>
      </c>
    </row>
    <row r="712" spans="1:9" s="272" customFormat="1" ht="12.75">
      <c r="A712" s="382" t="s">
        <v>99</v>
      </c>
      <c r="B712" s="389" t="s">
        <v>725</v>
      </c>
      <c r="C712" s="383" t="s">
        <v>726</v>
      </c>
      <c r="D712" s="384" t="s">
        <v>103</v>
      </c>
      <c r="E712" s="385">
        <v>1.0905</v>
      </c>
      <c r="F712" s="386">
        <f>ROUND(I712*$J$8,2)</f>
        <v>17.29</v>
      </c>
      <c r="G712" s="387">
        <f>ROUND(E712*F712,2)</f>
        <v>18.85</v>
      </c>
      <c r="I712" s="386">
        <v>17.44</v>
      </c>
    </row>
    <row r="713" spans="1:9" s="272" customFormat="1" ht="63.75">
      <c r="A713" s="382" t="s">
        <v>99</v>
      </c>
      <c r="B713" s="389" t="s">
        <v>727</v>
      </c>
      <c r="C713" s="383" t="s">
        <v>728</v>
      </c>
      <c r="D713" s="384" t="s">
        <v>213</v>
      </c>
      <c r="E713" s="385">
        <v>0.2999</v>
      </c>
      <c r="F713" s="386">
        <f>ROUND(I713*$I$8,2)</f>
        <v>204.74</v>
      </c>
      <c r="G713" s="387">
        <f>ROUND(E713*F713,2)</f>
        <v>61.4</v>
      </c>
      <c r="I713" s="386">
        <v>205.21</v>
      </c>
    </row>
    <row r="714" spans="1:9" s="272" customFormat="1" ht="63.75">
      <c r="A714" s="382" t="s">
        <v>99</v>
      </c>
      <c r="B714" s="389" t="s">
        <v>729</v>
      </c>
      <c r="C714" s="383" t="s">
        <v>730</v>
      </c>
      <c r="D714" s="384" t="s">
        <v>509</v>
      </c>
      <c r="E714" s="385">
        <v>1.2252</v>
      </c>
      <c r="F714" s="386">
        <f>ROUND(I714*$I$8,2)</f>
        <v>43.13</v>
      </c>
      <c r="G714" s="387">
        <f>ROUND(E714*F714,2)</f>
        <v>52.84</v>
      </c>
      <c r="I714" s="386">
        <v>43.23</v>
      </c>
    </row>
    <row r="715" spans="1:14" s="281" customFormat="1" ht="16.5" customHeight="1">
      <c r="A715" s="366" t="s">
        <v>485</v>
      </c>
      <c r="B715" s="365"/>
      <c r="C715" s="365"/>
      <c r="D715" s="365"/>
      <c r="E715" s="365"/>
      <c r="F715" s="364"/>
      <c r="G715" s="397">
        <f>SUM(G710,G713:G714)</f>
        <v>200.24</v>
      </c>
      <c r="H715" s="376"/>
      <c r="I715" s="376"/>
      <c r="J715" s="376"/>
      <c r="K715" s="376"/>
      <c r="L715" s="376"/>
      <c r="M715" s="376"/>
      <c r="N715" s="376"/>
    </row>
    <row r="716" spans="1:14" s="281" customFormat="1" ht="16.5" customHeight="1">
      <c r="A716" s="366" t="s">
        <v>488</v>
      </c>
      <c r="B716" s="365"/>
      <c r="C716" s="365"/>
      <c r="D716" s="365"/>
      <c r="E716" s="365"/>
      <c r="F716" s="364"/>
      <c r="G716" s="397">
        <f>SUM(G711:G712)</f>
        <v>92.74000000000001</v>
      </c>
      <c r="H716" s="376"/>
      <c r="I716" s="376"/>
      <c r="J716" s="376"/>
      <c r="K716" s="376"/>
      <c r="L716" s="376"/>
      <c r="M716" s="376"/>
      <c r="N716" s="376"/>
    </row>
    <row r="717" spans="1:14" s="281" customFormat="1" ht="16.5" customHeight="1">
      <c r="A717" s="369" t="s">
        <v>486</v>
      </c>
      <c r="B717" s="368"/>
      <c r="C717" s="368"/>
      <c r="D717" s="368"/>
      <c r="E717" s="368"/>
      <c r="F717" s="367"/>
      <c r="G717" s="398">
        <f>SUM(G715:G716)</f>
        <v>292.98</v>
      </c>
      <c r="H717" s="394"/>
      <c r="I717" s="394"/>
      <c r="J717" s="394"/>
      <c r="K717" s="394"/>
      <c r="L717" s="394"/>
      <c r="M717" s="394"/>
      <c r="N717" s="394"/>
    </row>
    <row r="718" spans="1:14" s="281" customFormat="1" ht="16.5" customHeight="1">
      <c r="A718" s="366" t="s">
        <v>489</v>
      </c>
      <c r="B718" s="365"/>
      <c r="C718" s="365"/>
      <c r="D718" s="365"/>
      <c r="E718" s="365"/>
      <c r="F718" s="364"/>
      <c r="G718" s="397">
        <f>ROUND(G717*$H$8,2)</f>
        <v>85.76</v>
      </c>
      <c r="H718" s="376"/>
      <c r="I718" s="376"/>
      <c r="J718" s="376"/>
      <c r="K718" s="376"/>
      <c r="L718" s="376"/>
      <c r="M718" s="376"/>
      <c r="N718" s="376"/>
    </row>
    <row r="719" spans="1:14" s="281" customFormat="1" ht="16.5" customHeight="1">
      <c r="A719" s="369" t="s">
        <v>487</v>
      </c>
      <c r="B719" s="368"/>
      <c r="C719" s="368"/>
      <c r="D719" s="368"/>
      <c r="E719" s="368"/>
      <c r="F719" s="367"/>
      <c r="G719" s="398">
        <f>SUM(G717:G718)</f>
        <v>378.74</v>
      </c>
      <c r="H719" s="394"/>
      <c r="I719" s="394"/>
      <c r="J719" s="394"/>
      <c r="K719" s="394"/>
      <c r="L719" s="394"/>
      <c r="M719" s="394"/>
      <c r="N719" s="394"/>
    </row>
    <row r="720" spans="2:13" s="281" customFormat="1" ht="13.5">
      <c r="B720" s="284"/>
      <c r="E720" s="362"/>
      <c r="F720" s="362"/>
      <c r="G720" s="362"/>
      <c r="I720" s="362"/>
      <c r="J720" s="283"/>
      <c r="K720" s="282"/>
      <c r="L720" s="282"/>
      <c r="M720" s="282"/>
    </row>
    <row r="721" spans="1:9" s="272" customFormat="1" ht="44.25" customHeight="1">
      <c r="A721" s="390" t="str">
        <f>ORÇAMENTO!B82</f>
        <v>SINAPI</v>
      </c>
      <c r="B721" s="388" t="str">
        <f>ORÇAMENTO!C82</f>
        <v>98510</v>
      </c>
      <c r="C721" s="252" t="str">
        <f>ORÇAMENTO!D82</f>
        <v>PLANTIO DE ÁRVORE ORNAMENTAL COM ALTURA DE MUDA MENOR OU IGUAL A 2,00 M. AF_05/2018</v>
      </c>
      <c r="D721" s="252"/>
      <c r="E721" s="252"/>
      <c r="F721" s="391" t="s">
        <v>295</v>
      </c>
      <c r="G721" s="396" t="str">
        <f>ORÇAMENTO!E82</f>
        <v>UN</v>
      </c>
      <c r="H721" s="310">
        <f>ORÇAMENTO!L82</f>
        <v>58.11</v>
      </c>
      <c r="I721" s="163" t="s">
        <v>295</v>
      </c>
    </row>
    <row r="722" spans="1:9" s="291" customFormat="1" ht="16.5" customHeight="1">
      <c r="A722" s="391" t="s">
        <v>296</v>
      </c>
      <c r="B722" s="392" t="s">
        <v>102</v>
      </c>
      <c r="C722" s="391" t="s">
        <v>36</v>
      </c>
      <c r="D722" s="399" t="s">
        <v>297</v>
      </c>
      <c r="E722" s="400" t="s">
        <v>26</v>
      </c>
      <c r="F722" s="393" t="s">
        <v>298</v>
      </c>
      <c r="G722" s="393" t="s">
        <v>10</v>
      </c>
      <c r="I722" s="393" t="s">
        <v>298</v>
      </c>
    </row>
    <row r="723" spans="1:9" s="272" customFormat="1" ht="38.25">
      <c r="A723" s="382" t="s">
        <v>197</v>
      </c>
      <c r="B723" s="389" t="s">
        <v>731</v>
      </c>
      <c r="C723" s="383" t="s">
        <v>732</v>
      </c>
      <c r="D723" s="384" t="s">
        <v>214</v>
      </c>
      <c r="E723" s="385">
        <v>1</v>
      </c>
      <c r="F723" s="386">
        <f>ROUND(I723*$I$8,2)</f>
        <v>42.42</v>
      </c>
      <c r="G723" s="387">
        <f>ROUND(E723*F723,2)</f>
        <v>42.42</v>
      </c>
      <c r="I723" s="386">
        <v>42.52</v>
      </c>
    </row>
    <row r="724" spans="1:9" s="272" customFormat="1" ht="12.75">
      <c r="A724" s="382" t="s">
        <v>99</v>
      </c>
      <c r="B724" s="389" t="s">
        <v>208</v>
      </c>
      <c r="C724" s="383" t="s">
        <v>209</v>
      </c>
      <c r="D724" s="384" t="s">
        <v>103</v>
      </c>
      <c r="E724" s="385">
        <v>0.7272</v>
      </c>
      <c r="F724" s="386">
        <f>ROUND(I724*$J$8,2)</f>
        <v>16.94</v>
      </c>
      <c r="G724" s="387">
        <f>ROUND(E724*F724,2)</f>
        <v>12.32</v>
      </c>
      <c r="I724" s="386">
        <v>17.09</v>
      </c>
    </row>
    <row r="725" spans="1:9" s="272" customFormat="1" ht="12.75">
      <c r="A725" s="382" t="s">
        <v>99</v>
      </c>
      <c r="B725" s="389" t="s">
        <v>725</v>
      </c>
      <c r="C725" s="383" t="s">
        <v>726</v>
      </c>
      <c r="D725" s="384" t="s">
        <v>103</v>
      </c>
      <c r="E725" s="385">
        <v>0.1818</v>
      </c>
      <c r="F725" s="386">
        <f>ROUND(I725*$J$8,2)</f>
        <v>17.29</v>
      </c>
      <c r="G725" s="387">
        <f>ROUND(E725*F725,2)</f>
        <v>3.14</v>
      </c>
      <c r="I725" s="386">
        <v>17.44</v>
      </c>
    </row>
    <row r="726" spans="1:14" s="281" customFormat="1" ht="16.5" customHeight="1">
      <c r="A726" s="366" t="s">
        <v>485</v>
      </c>
      <c r="B726" s="365"/>
      <c r="C726" s="365"/>
      <c r="D726" s="365"/>
      <c r="E726" s="365"/>
      <c r="F726" s="364"/>
      <c r="G726" s="397">
        <f>SUM(G723)</f>
        <v>42.42</v>
      </c>
      <c r="H726" s="376"/>
      <c r="I726" s="376"/>
      <c r="J726" s="376"/>
      <c r="K726" s="376"/>
      <c r="L726" s="376"/>
      <c r="M726" s="376"/>
      <c r="N726" s="376"/>
    </row>
    <row r="727" spans="1:14" s="281" customFormat="1" ht="16.5" customHeight="1">
      <c r="A727" s="366" t="s">
        <v>488</v>
      </c>
      <c r="B727" s="365"/>
      <c r="C727" s="365"/>
      <c r="D727" s="365"/>
      <c r="E727" s="365"/>
      <c r="F727" s="364"/>
      <c r="G727" s="397">
        <f>SUM(G724:G725)</f>
        <v>15.46</v>
      </c>
      <c r="H727" s="376"/>
      <c r="I727" s="376"/>
      <c r="J727" s="376"/>
      <c r="K727" s="376"/>
      <c r="L727" s="376"/>
      <c r="M727" s="376"/>
      <c r="N727" s="376"/>
    </row>
    <row r="728" spans="1:14" s="281" customFormat="1" ht="16.5" customHeight="1">
      <c r="A728" s="369" t="s">
        <v>486</v>
      </c>
      <c r="B728" s="368"/>
      <c r="C728" s="368"/>
      <c r="D728" s="368"/>
      <c r="E728" s="368"/>
      <c r="F728" s="367"/>
      <c r="G728" s="398">
        <f>SUM(G726:G727)</f>
        <v>57.88</v>
      </c>
      <c r="H728" s="394"/>
      <c r="I728" s="394"/>
      <c r="J728" s="394"/>
      <c r="K728" s="394"/>
      <c r="L728" s="394"/>
      <c r="M728" s="394"/>
      <c r="N728" s="394"/>
    </row>
    <row r="729" spans="1:14" s="281" customFormat="1" ht="16.5" customHeight="1">
      <c r="A729" s="366" t="s">
        <v>489</v>
      </c>
      <c r="B729" s="365"/>
      <c r="C729" s="365"/>
      <c r="D729" s="365"/>
      <c r="E729" s="365"/>
      <c r="F729" s="364"/>
      <c r="G729" s="397">
        <f>ROUND(G728*$H$8,2)</f>
        <v>16.94</v>
      </c>
      <c r="H729" s="376"/>
      <c r="I729" s="376"/>
      <c r="J729" s="376"/>
      <c r="K729" s="376"/>
      <c r="L729" s="376"/>
      <c r="M729" s="376"/>
      <c r="N729" s="376"/>
    </row>
    <row r="730" spans="1:14" s="281" customFormat="1" ht="16.5" customHeight="1">
      <c r="A730" s="369" t="s">
        <v>487</v>
      </c>
      <c r="B730" s="368"/>
      <c r="C730" s="368"/>
      <c r="D730" s="368"/>
      <c r="E730" s="368"/>
      <c r="F730" s="367"/>
      <c r="G730" s="398">
        <f>SUM(G728:G729)</f>
        <v>74.82000000000001</v>
      </c>
      <c r="H730" s="394"/>
      <c r="I730" s="394"/>
      <c r="J730" s="394"/>
      <c r="K730" s="394"/>
      <c r="L730" s="394"/>
      <c r="M730" s="394"/>
      <c r="N730" s="394"/>
    </row>
    <row r="731" spans="2:13" s="281" customFormat="1" ht="13.5">
      <c r="B731" s="284"/>
      <c r="E731" s="362"/>
      <c r="F731" s="362"/>
      <c r="G731" s="362"/>
      <c r="I731" s="362"/>
      <c r="J731" s="283"/>
      <c r="K731" s="282"/>
      <c r="L731" s="282"/>
      <c r="M731" s="282"/>
    </row>
    <row r="732" spans="1:9" s="272" customFormat="1" ht="44.25" customHeight="1">
      <c r="A732" s="390" t="str">
        <f>ORÇAMENTO!B83</f>
        <v>SINAPI-I</v>
      </c>
      <c r="B732" s="388" t="str">
        <f>ORÇAMENTO!C83</f>
        <v>10826</v>
      </c>
      <c r="C732" s="252" t="str">
        <f>ORÇAMENTO!D83</f>
        <v>MUDA DE ARBUSTO FLORIFERO, CLUSIA/GARDENIA/MOREIA BRANCA/ AZALEIA OU EQUIVALENTE DA REGIAO, H= *50 A 70* CM</v>
      </c>
      <c r="D732" s="252"/>
      <c r="E732" s="252"/>
      <c r="F732" s="391" t="s">
        <v>295</v>
      </c>
      <c r="G732" s="396" t="str">
        <f>ORÇAMENTO!E83</f>
        <v>UN    </v>
      </c>
      <c r="H732" s="310">
        <f>ORÇAMENTO!L83</f>
        <v>57.47</v>
      </c>
      <c r="I732" s="163" t="s">
        <v>295</v>
      </c>
    </row>
    <row r="733" spans="1:9" s="291" customFormat="1" ht="16.5" customHeight="1">
      <c r="A733" s="391" t="s">
        <v>296</v>
      </c>
      <c r="B733" s="392" t="s">
        <v>102</v>
      </c>
      <c r="C733" s="391" t="s">
        <v>36</v>
      </c>
      <c r="D733" s="399" t="s">
        <v>297</v>
      </c>
      <c r="E733" s="400" t="s">
        <v>26</v>
      </c>
      <c r="F733" s="393" t="s">
        <v>298</v>
      </c>
      <c r="G733" s="393" t="s">
        <v>10</v>
      </c>
      <c r="I733" s="393" t="s">
        <v>298</v>
      </c>
    </row>
    <row r="734" spans="1:9" s="272" customFormat="1" ht="38.25">
      <c r="A734" s="382" t="s">
        <v>197</v>
      </c>
      <c r="B734" s="389" t="s">
        <v>427</v>
      </c>
      <c r="C734" s="383" t="s">
        <v>428</v>
      </c>
      <c r="D734" s="384" t="s">
        <v>214</v>
      </c>
      <c r="E734" s="385">
        <v>1</v>
      </c>
      <c r="F734" s="386">
        <f>ROUND(I734*$I$8,2)</f>
        <v>57.34</v>
      </c>
      <c r="G734" s="387">
        <f>ROUND(E734*F734,2)</f>
        <v>57.34</v>
      </c>
      <c r="I734" s="386">
        <v>57.47</v>
      </c>
    </row>
    <row r="735" spans="1:14" s="281" customFormat="1" ht="16.5" customHeight="1">
      <c r="A735" s="366" t="s">
        <v>485</v>
      </c>
      <c r="B735" s="365"/>
      <c r="C735" s="365"/>
      <c r="D735" s="365"/>
      <c r="E735" s="365"/>
      <c r="F735" s="364"/>
      <c r="G735" s="397">
        <f>SUM(G734)</f>
        <v>57.34</v>
      </c>
      <c r="H735" s="376"/>
      <c r="I735" s="376"/>
      <c r="J735" s="376"/>
      <c r="K735" s="376"/>
      <c r="L735" s="376"/>
      <c r="M735" s="376"/>
      <c r="N735" s="376"/>
    </row>
    <row r="736" spans="1:14" s="281" customFormat="1" ht="16.5" customHeight="1">
      <c r="A736" s="366" t="s">
        <v>488</v>
      </c>
      <c r="B736" s="365"/>
      <c r="C736" s="365"/>
      <c r="D736" s="365"/>
      <c r="E736" s="365"/>
      <c r="F736" s="364"/>
      <c r="G736" s="397">
        <v>0</v>
      </c>
      <c r="H736" s="376"/>
      <c r="I736" s="376"/>
      <c r="J736" s="376"/>
      <c r="K736" s="376"/>
      <c r="L736" s="376"/>
      <c r="M736" s="376"/>
      <c r="N736" s="376"/>
    </row>
    <row r="737" spans="1:14" s="281" customFormat="1" ht="16.5" customHeight="1">
      <c r="A737" s="369" t="s">
        <v>486</v>
      </c>
      <c r="B737" s="368"/>
      <c r="C737" s="368"/>
      <c r="D737" s="368"/>
      <c r="E737" s="368"/>
      <c r="F737" s="367"/>
      <c r="G737" s="398">
        <f>SUM(G735:G736)</f>
        <v>57.34</v>
      </c>
      <c r="H737" s="394"/>
      <c r="I737" s="394"/>
      <c r="J737" s="394"/>
      <c r="K737" s="394"/>
      <c r="L737" s="394"/>
      <c r="M737" s="394"/>
      <c r="N737" s="394"/>
    </row>
    <row r="738" spans="1:14" s="281" customFormat="1" ht="16.5" customHeight="1">
      <c r="A738" s="366" t="s">
        <v>489</v>
      </c>
      <c r="B738" s="365"/>
      <c r="C738" s="365"/>
      <c r="D738" s="365"/>
      <c r="E738" s="365"/>
      <c r="F738" s="364"/>
      <c r="G738" s="397">
        <f>ROUND(G737*$H$8,2)</f>
        <v>16.78</v>
      </c>
      <c r="H738" s="376"/>
      <c r="I738" s="376"/>
      <c r="J738" s="376"/>
      <c r="K738" s="376"/>
      <c r="L738" s="376"/>
      <c r="M738" s="376"/>
      <c r="N738" s="376"/>
    </row>
    <row r="739" spans="1:14" s="281" customFormat="1" ht="16.5" customHeight="1">
      <c r="A739" s="369" t="s">
        <v>487</v>
      </c>
      <c r="B739" s="368"/>
      <c r="C739" s="368"/>
      <c r="D739" s="368"/>
      <c r="E739" s="368"/>
      <c r="F739" s="367"/>
      <c r="G739" s="398">
        <f>SUM(G737:G738)</f>
        <v>74.12</v>
      </c>
      <c r="H739" s="394"/>
      <c r="I739" s="394"/>
      <c r="J739" s="394"/>
      <c r="K739" s="394"/>
      <c r="L739" s="394"/>
      <c r="M739" s="394"/>
      <c r="N739" s="394"/>
    </row>
    <row r="740" spans="2:13" s="281" customFormat="1" ht="13.5">
      <c r="B740" s="284"/>
      <c r="E740" s="362"/>
      <c r="F740" s="362"/>
      <c r="G740" s="362"/>
      <c r="I740" s="362"/>
      <c r="J740" s="283"/>
      <c r="K740" s="282"/>
      <c r="L740" s="282"/>
      <c r="M740" s="282"/>
    </row>
    <row r="741" spans="1:9" s="272" customFormat="1" ht="44.25" customHeight="1">
      <c r="A741" s="390" t="str">
        <f>ORÇAMENTO!B84</f>
        <v>SINAPI</v>
      </c>
      <c r="B741" s="388" t="str">
        <f>ORÇAMENTO!C84</f>
        <v>98504</v>
      </c>
      <c r="C741" s="252" t="str">
        <f>ORÇAMENTO!D84</f>
        <v>PLANTIO DE GRAMA EM PLACAS. AF_05/2018</v>
      </c>
      <c r="D741" s="252"/>
      <c r="E741" s="252"/>
      <c r="F741" s="391" t="s">
        <v>295</v>
      </c>
      <c r="G741" s="396" t="str">
        <f>ORÇAMENTO!E84</f>
        <v>M2</v>
      </c>
      <c r="H741" s="310">
        <f>ORÇAMENTO!L84</f>
        <v>10.49</v>
      </c>
      <c r="I741" s="163" t="s">
        <v>295</v>
      </c>
    </row>
    <row r="742" spans="1:9" s="291" customFormat="1" ht="16.5" customHeight="1">
      <c r="A742" s="391" t="s">
        <v>296</v>
      </c>
      <c r="B742" s="392" t="s">
        <v>102</v>
      </c>
      <c r="C742" s="391" t="s">
        <v>36</v>
      </c>
      <c r="D742" s="399" t="s">
        <v>297</v>
      </c>
      <c r="E742" s="400" t="s">
        <v>26</v>
      </c>
      <c r="F742" s="393" t="s">
        <v>298</v>
      </c>
      <c r="G742" s="393" t="s">
        <v>10</v>
      </c>
      <c r="I742" s="393" t="s">
        <v>298</v>
      </c>
    </row>
    <row r="743" spans="1:9" s="272" customFormat="1" ht="12.75">
      <c r="A743" s="382" t="s">
        <v>197</v>
      </c>
      <c r="B743" s="389" t="s">
        <v>733</v>
      </c>
      <c r="C743" s="383" t="s">
        <v>734</v>
      </c>
      <c r="D743" s="384" t="s">
        <v>176</v>
      </c>
      <c r="E743" s="385">
        <v>1</v>
      </c>
      <c r="F743" s="386">
        <f>ROUND(I743*$I$8,2)</f>
        <v>7.12</v>
      </c>
      <c r="G743" s="387">
        <f>ROUND(E743*F743,2)</f>
        <v>7.12</v>
      </c>
      <c r="I743" s="386">
        <v>7.14</v>
      </c>
    </row>
    <row r="744" spans="1:9" s="272" customFormat="1" ht="12.75">
      <c r="A744" s="382" t="s">
        <v>99</v>
      </c>
      <c r="B744" s="389" t="s">
        <v>208</v>
      </c>
      <c r="C744" s="383" t="s">
        <v>209</v>
      </c>
      <c r="D744" s="384" t="s">
        <v>103</v>
      </c>
      <c r="E744" s="385">
        <v>0.1564</v>
      </c>
      <c r="F744" s="386">
        <f>ROUND(I744*$J$8,2)</f>
        <v>16.94</v>
      </c>
      <c r="G744" s="387">
        <f>ROUND(E744*F744,2)</f>
        <v>2.65</v>
      </c>
      <c r="I744" s="386">
        <v>17.09</v>
      </c>
    </row>
    <row r="745" spans="1:9" s="272" customFormat="1" ht="12.75">
      <c r="A745" s="382" t="s">
        <v>99</v>
      </c>
      <c r="B745" s="389" t="s">
        <v>725</v>
      </c>
      <c r="C745" s="383" t="s">
        <v>726</v>
      </c>
      <c r="D745" s="384" t="s">
        <v>103</v>
      </c>
      <c r="E745" s="385">
        <v>0.0391</v>
      </c>
      <c r="F745" s="386">
        <f>ROUND(I745*$J$8,2)</f>
        <v>17.29</v>
      </c>
      <c r="G745" s="387">
        <f>ROUND(E745*F745,2)</f>
        <v>0.68</v>
      </c>
      <c r="I745" s="386">
        <v>17.44</v>
      </c>
    </row>
    <row r="746" spans="1:14" s="281" customFormat="1" ht="16.5" customHeight="1">
      <c r="A746" s="366" t="s">
        <v>485</v>
      </c>
      <c r="B746" s="365"/>
      <c r="C746" s="365"/>
      <c r="D746" s="365"/>
      <c r="E746" s="365"/>
      <c r="F746" s="364"/>
      <c r="G746" s="397">
        <f>SUM(G743)</f>
        <v>7.12</v>
      </c>
      <c r="H746" s="376"/>
      <c r="I746" s="376"/>
      <c r="J746" s="376"/>
      <c r="K746" s="376"/>
      <c r="L746" s="376"/>
      <c r="M746" s="376"/>
      <c r="N746" s="376"/>
    </row>
    <row r="747" spans="1:14" s="281" customFormat="1" ht="16.5" customHeight="1">
      <c r="A747" s="366" t="s">
        <v>488</v>
      </c>
      <c r="B747" s="365"/>
      <c r="C747" s="365"/>
      <c r="D747" s="365"/>
      <c r="E747" s="365"/>
      <c r="F747" s="364"/>
      <c r="G747" s="397">
        <f>SUM(G744:G745)</f>
        <v>3.33</v>
      </c>
      <c r="H747" s="376"/>
      <c r="I747" s="376"/>
      <c r="J747" s="376"/>
      <c r="K747" s="376"/>
      <c r="L747" s="376"/>
      <c r="M747" s="376"/>
      <c r="N747" s="376"/>
    </row>
    <row r="748" spans="1:14" s="281" customFormat="1" ht="16.5" customHeight="1">
      <c r="A748" s="369" t="s">
        <v>486</v>
      </c>
      <c r="B748" s="368"/>
      <c r="C748" s="368"/>
      <c r="D748" s="368"/>
      <c r="E748" s="368"/>
      <c r="F748" s="367"/>
      <c r="G748" s="398">
        <f>SUM(G746:G747)</f>
        <v>10.45</v>
      </c>
      <c r="H748" s="394"/>
      <c r="I748" s="394"/>
      <c r="J748" s="394"/>
      <c r="K748" s="394"/>
      <c r="L748" s="394"/>
      <c r="M748" s="394"/>
      <c r="N748" s="394"/>
    </row>
    <row r="749" spans="1:14" s="281" customFormat="1" ht="16.5" customHeight="1">
      <c r="A749" s="366" t="s">
        <v>489</v>
      </c>
      <c r="B749" s="365"/>
      <c r="C749" s="365"/>
      <c r="D749" s="365"/>
      <c r="E749" s="365"/>
      <c r="F749" s="364"/>
      <c r="G749" s="397">
        <f>ROUND(G748*$H$8,2)</f>
        <v>3.06</v>
      </c>
      <c r="H749" s="376"/>
      <c r="I749" s="376"/>
      <c r="J749" s="376"/>
      <c r="K749" s="376"/>
      <c r="L749" s="376"/>
      <c r="M749" s="376"/>
      <c r="N749" s="376"/>
    </row>
    <row r="750" spans="1:14" s="281" customFormat="1" ht="16.5" customHeight="1">
      <c r="A750" s="369" t="s">
        <v>487</v>
      </c>
      <c r="B750" s="368"/>
      <c r="C750" s="368"/>
      <c r="D750" s="368"/>
      <c r="E750" s="368"/>
      <c r="F750" s="367"/>
      <c r="G750" s="398">
        <f>SUM(G748:G749)</f>
        <v>13.51</v>
      </c>
      <c r="H750" s="394"/>
      <c r="I750" s="394"/>
      <c r="J750" s="394"/>
      <c r="K750" s="394"/>
      <c r="L750" s="394"/>
      <c r="M750" s="394"/>
      <c r="N750" s="394"/>
    </row>
    <row r="751" spans="2:13" s="281" customFormat="1" ht="13.5">
      <c r="B751" s="284"/>
      <c r="E751" s="362"/>
      <c r="F751" s="362"/>
      <c r="G751" s="362"/>
      <c r="I751" s="362"/>
      <c r="J751" s="283"/>
      <c r="K751" s="282"/>
      <c r="L751" s="282"/>
      <c r="M751" s="282"/>
    </row>
    <row r="752" spans="1:9" s="272" customFormat="1" ht="44.25" customHeight="1">
      <c r="A752" s="390" t="str">
        <f>ORÇAMENTO!B85</f>
        <v>CPU</v>
      </c>
      <c r="B752" s="388" t="str">
        <f>ORÇAMENTO!C85</f>
        <v>04</v>
      </c>
      <c r="C752" s="252" t="str">
        <f>ORÇAMENTO!D85</f>
        <v>RECUPERAÇÃO E REVITALIZAÇÃO DE BANCO EM MADEIRA E FERRO - FORNECIMENTO E INSTALAÇÃO</v>
      </c>
      <c r="D752" s="252"/>
      <c r="E752" s="252"/>
      <c r="F752" s="391" t="s">
        <v>295</v>
      </c>
      <c r="G752" s="396" t="str">
        <f>ORÇAMENTO!E85</f>
        <v>UN</v>
      </c>
      <c r="H752" s="310">
        <f>ORÇAMENTO!L85</f>
        <v>355.21</v>
      </c>
      <c r="I752" s="163" t="s">
        <v>295</v>
      </c>
    </row>
    <row r="753" spans="1:9" s="291" customFormat="1" ht="16.5" customHeight="1">
      <c r="A753" s="391" t="s">
        <v>296</v>
      </c>
      <c r="B753" s="392" t="s">
        <v>102</v>
      </c>
      <c r="C753" s="391" t="s">
        <v>36</v>
      </c>
      <c r="D753" s="399" t="s">
        <v>297</v>
      </c>
      <c r="E753" s="400" t="s">
        <v>26</v>
      </c>
      <c r="F753" s="393" t="s">
        <v>298</v>
      </c>
      <c r="G753" s="393" t="s">
        <v>10</v>
      </c>
      <c r="I753" s="393" t="s">
        <v>298</v>
      </c>
    </row>
    <row r="754" spans="1:9" ht="25.5">
      <c r="A754" s="164" t="s">
        <v>197</v>
      </c>
      <c r="B754" s="165" t="s">
        <v>450</v>
      </c>
      <c r="C754" s="166" t="s">
        <v>451</v>
      </c>
      <c r="D754" s="167" t="s">
        <v>458</v>
      </c>
      <c r="E754" s="168">
        <v>20</v>
      </c>
      <c r="F754" s="386">
        <f>ROUND(I754*$I$8,2)</f>
        <v>3.7</v>
      </c>
      <c r="G754" s="169">
        <f aca="true" t="shared" si="24" ref="G754:G761">ROUND(E754*F754,2)</f>
        <v>74</v>
      </c>
      <c r="I754" s="386">
        <v>3.71</v>
      </c>
    </row>
    <row r="755" spans="1:9" s="363" customFormat="1" ht="38.25">
      <c r="A755" s="382" t="s">
        <v>197</v>
      </c>
      <c r="B755" s="389" t="s">
        <v>452</v>
      </c>
      <c r="C755" s="383" t="s">
        <v>453</v>
      </c>
      <c r="D755" s="384" t="s">
        <v>304</v>
      </c>
      <c r="E755" s="385">
        <v>7.199999999999999</v>
      </c>
      <c r="F755" s="386">
        <f>$F$311</f>
        <v>7.54</v>
      </c>
      <c r="G755" s="387">
        <f t="shared" si="24"/>
        <v>54.29</v>
      </c>
      <c r="I755" s="386">
        <v>7.56</v>
      </c>
    </row>
    <row r="756" spans="1:9" s="363" customFormat="1" ht="25.5">
      <c r="A756" s="382" t="s">
        <v>99</v>
      </c>
      <c r="B756" s="389" t="s">
        <v>454</v>
      </c>
      <c r="C756" s="383" t="s">
        <v>455</v>
      </c>
      <c r="D756" s="384" t="s">
        <v>177</v>
      </c>
      <c r="E756" s="385">
        <v>1.6</v>
      </c>
      <c r="F756" s="386">
        <f>ROUND(I756*$I$8,2)</f>
        <v>7.38</v>
      </c>
      <c r="G756" s="387">
        <f t="shared" si="24"/>
        <v>11.81</v>
      </c>
      <c r="I756" s="386">
        <v>7.4</v>
      </c>
    </row>
    <row r="757" spans="1:9" s="363" customFormat="1" ht="51">
      <c r="A757" s="382" t="s">
        <v>99</v>
      </c>
      <c r="B757" s="389" t="s">
        <v>306</v>
      </c>
      <c r="C757" s="383" t="s">
        <v>307</v>
      </c>
      <c r="D757" s="384" t="s">
        <v>177</v>
      </c>
      <c r="E757" s="385">
        <v>1.6</v>
      </c>
      <c r="F757" s="386">
        <f>$F$262</f>
        <v>18.68</v>
      </c>
      <c r="G757" s="387">
        <f t="shared" si="24"/>
        <v>29.89</v>
      </c>
      <c r="I757" s="386">
        <v>18.72</v>
      </c>
    </row>
    <row r="758" spans="1:9" s="363" customFormat="1" ht="38.25">
      <c r="A758" s="382" t="s">
        <v>99</v>
      </c>
      <c r="B758" s="389" t="s">
        <v>241</v>
      </c>
      <c r="C758" s="383" t="s">
        <v>242</v>
      </c>
      <c r="D758" s="384" t="s">
        <v>177</v>
      </c>
      <c r="E758" s="385">
        <v>1.6</v>
      </c>
      <c r="F758" s="386">
        <f>$F$263</f>
        <v>8.06</v>
      </c>
      <c r="G758" s="387">
        <f t="shared" si="24"/>
        <v>12.9</v>
      </c>
      <c r="I758" s="386">
        <v>8.08</v>
      </c>
    </row>
    <row r="759" spans="1:9" s="363" customFormat="1" ht="25.5">
      <c r="A759" s="382" t="s">
        <v>99</v>
      </c>
      <c r="B759" s="389" t="s">
        <v>456</v>
      </c>
      <c r="C759" s="383" t="s">
        <v>457</v>
      </c>
      <c r="D759" s="384" t="s">
        <v>177</v>
      </c>
      <c r="E759" s="385">
        <v>3.4559999999999995</v>
      </c>
      <c r="F759" s="386">
        <f>ROUND(I759*$I$8,2)</f>
        <v>1.53</v>
      </c>
      <c r="G759" s="387">
        <f t="shared" si="24"/>
        <v>5.29</v>
      </c>
      <c r="I759" s="386">
        <v>1.53</v>
      </c>
    </row>
    <row r="760" spans="1:9" s="363" customFormat="1" ht="25.5">
      <c r="A760" s="382" t="s">
        <v>99</v>
      </c>
      <c r="B760" s="389" t="s">
        <v>393</v>
      </c>
      <c r="C760" s="383" t="s">
        <v>394</v>
      </c>
      <c r="D760" s="384" t="s">
        <v>177</v>
      </c>
      <c r="E760" s="385">
        <v>3.4559999999999995</v>
      </c>
      <c r="F760" s="386">
        <f>ROUND(I760*$I$8,2)</f>
        <v>16.2</v>
      </c>
      <c r="G760" s="387">
        <f t="shared" si="24"/>
        <v>55.99</v>
      </c>
      <c r="I760" s="386">
        <v>16.24</v>
      </c>
    </row>
    <row r="761" spans="1:9" s="363" customFormat="1" ht="12.75">
      <c r="A761" s="382" t="s">
        <v>197</v>
      </c>
      <c r="B761" s="389" t="s">
        <v>312</v>
      </c>
      <c r="C761" s="383" t="s">
        <v>313</v>
      </c>
      <c r="D761" s="384" t="s">
        <v>314</v>
      </c>
      <c r="E761" s="385">
        <v>4</v>
      </c>
      <c r="F761" s="386">
        <f>$F$402</f>
        <v>27.55</v>
      </c>
      <c r="G761" s="387">
        <f t="shared" si="24"/>
        <v>110.2</v>
      </c>
      <c r="I761" s="386">
        <v>27.61</v>
      </c>
    </row>
    <row r="762" spans="1:14" s="281" customFormat="1" ht="16.5" customHeight="1">
      <c r="A762" s="366" t="s">
        <v>485</v>
      </c>
      <c r="B762" s="365"/>
      <c r="C762" s="365"/>
      <c r="D762" s="365"/>
      <c r="E762" s="365"/>
      <c r="F762" s="364"/>
      <c r="G762" s="397">
        <f>SUM(G754:G755,G761)</f>
        <v>238.49</v>
      </c>
      <c r="H762" s="376"/>
      <c r="I762" s="376"/>
      <c r="K762" s="376"/>
      <c r="L762" s="376"/>
      <c r="M762" s="376"/>
      <c r="N762" s="376"/>
    </row>
    <row r="763" spans="1:14" s="281" customFormat="1" ht="16.5" customHeight="1">
      <c r="A763" s="366" t="s">
        <v>488</v>
      </c>
      <c r="B763" s="365"/>
      <c r="C763" s="365"/>
      <c r="D763" s="365"/>
      <c r="E763" s="365"/>
      <c r="F763" s="364"/>
      <c r="G763" s="397">
        <f>SUM(G756:G760)</f>
        <v>115.88</v>
      </c>
      <c r="H763" s="376"/>
      <c r="I763" s="376"/>
      <c r="J763" s="376"/>
      <c r="K763" s="376"/>
      <c r="L763" s="376"/>
      <c r="M763" s="376"/>
      <c r="N763" s="376"/>
    </row>
    <row r="764" spans="1:14" s="281" customFormat="1" ht="16.5" customHeight="1">
      <c r="A764" s="369" t="s">
        <v>486</v>
      </c>
      <c r="B764" s="368"/>
      <c r="C764" s="368"/>
      <c r="D764" s="368"/>
      <c r="E764" s="368"/>
      <c r="F764" s="367"/>
      <c r="G764" s="398">
        <f>SUM(G762:G763)</f>
        <v>354.37</v>
      </c>
      <c r="H764" s="394"/>
      <c r="I764" s="394"/>
      <c r="J764" s="394"/>
      <c r="K764" s="394"/>
      <c r="L764" s="394"/>
      <c r="M764" s="394"/>
      <c r="N764" s="394"/>
    </row>
    <row r="765" spans="1:14" s="281" customFormat="1" ht="16.5" customHeight="1">
      <c r="A765" s="366" t="s">
        <v>489</v>
      </c>
      <c r="B765" s="365"/>
      <c r="C765" s="365"/>
      <c r="D765" s="365"/>
      <c r="E765" s="365"/>
      <c r="F765" s="364"/>
      <c r="G765" s="397">
        <f>ROUND(G764*$H$8,2)</f>
        <v>103.72</v>
      </c>
      <c r="H765" s="376"/>
      <c r="I765" s="376"/>
      <c r="J765" s="376"/>
      <c r="K765" s="376"/>
      <c r="L765" s="376"/>
      <c r="M765" s="376"/>
      <c r="N765" s="376"/>
    </row>
    <row r="766" spans="1:14" s="281" customFormat="1" ht="16.5" customHeight="1">
      <c r="A766" s="369" t="s">
        <v>487</v>
      </c>
      <c r="B766" s="368"/>
      <c r="C766" s="368"/>
      <c r="D766" s="368"/>
      <c r="E766" s="368"/>
      <c r="F766" s="367"/>
      <c r="G766" s="398">
        <f>SUM(G764:G765)</f>
        <v>458.09000000000003</v>
      </c>
      <c r="H766" s="394"/>
      <c r="I766" s="394"/>
      <c r="J766" s="394"/>
      <c r="K766" s="394"/>
      <c r="L766" s="394"/>
      <c r="M766" s="394"/>
      <c r="N766" s="394"/>
    </row>
    <row r="767" spans="2:13" s="124" customFormat="1" ht="15" customHeight="1">
      <c r="B767" s="142"/>
      <c r="E767" s="204"/>
      <c r="F767" s="204"/>
      <c r="G767" s="204"/>
      <c r="I767" s="281"/>
      <c r="J767" s="133"/>
      <c r="K767" s="132"/>
      <c r="L767" s="132"/>
      <c r="M767" s="132"/>
    </row>
    <row r="768" spans="1:9" s="272" customFormat="1" ht="44.25" customHeight="1">
      <c r="A768" s="390" t="str">
        <f>ORÇAMENTO!B86</f>
        <v>CPU</v>
      </c>
      <c r="B768" s="388" t="str">
        <f>ORÇAMENTO!C86</f>
        <v>05</v>
      </c>
      <c r="C768" s="252" t="str">
        <f>ORÇAMENTO!D86</f>
        <v>RECUPERAÇÃO E REVITALIZAÇÃO DE LIXEIRA EM MADEIRA E FERRO - FORNECIMENTO E INSTALAÇÃO</v>
      </c>
      <c r="D768" s="252"/>
      <c r="E768" s="252"/>
      <c r="F768" s="391" t="s">
        <v>295</v>
      </c>
      <c r="G768" s="396" t="str">
        <f>ORÇAMENTO!E86</f>
        <v>UN</v>
      </c>
      <c r="H768" s="310">
        <f>ORÇAMENTO!L86</f>
        <v>196.92</v>
      </c>
      <c r="I768" s="163" t="s">
        <v>295</v>
      </c>
    </row>
    <row r="769" spans="1:9" s="291" customFormat="1" ht="16.5" customHeight="1">
      <c r="A769" s="391" t="s">
        <v>296</v>
      </c>
      <c r="B769" s="392" t="s">
        <v>102</v>
      </c>
      <c r="C769" s="391" t="s">
        <v>36</v>
      </c>
      <c r="D769" s="399" t="s">
        <v>297</v>
      </c>
      <c r="E769" s="400" t="s">
        <v>26</v>
      </c>
      <c r="F769" s="393" t="s">
        <v>298</v>
      </c>
      <c r="G769" s="393" t="s">
        <v>10</v>
      </c>
      <c r="I769" s="393" t="s">
        <v>298</v>
      </c>
    </row>
    <row r="770" spans="1:9" s="363" customFormat="1" ht="25.5">
      <c r="A770" s="382" t="s">
        <v>197</v>
      </c>
      <c r="B770" s="389" t="s">
        <v>450</v>
      </c>
      <c r="C770" s="383" t="s">
        <v>451</v>
      </c>
      <c r="D770" s="384" t="s">
        <v>214</v>
      </c>
      <c r="E770" s="385">
        <v>10</v>
      </c>
      <c r="F770" s="386">
        <f>$F$754</f>
        <v>3.7</v>
      </c>
      <c r="G770" s="387">
        <f aca="true" t="shared" si="25" ref="G770:G777">ROUND(E770*F770,2)</f>
        <v>37</v>
      </c>
      <c r="I770" s="386">
        <v>3.71</v>
      </c>
    </row>
    <row r="771" spans="1:9" s="363" customFormat="1" ht="38.25">
      <c r="A771" s="382" t="s">
        <v>197</v>
      </c>
      <c r="B771" s="389" t="s">
        <v>452</v>
      </c>
      <c r="C771" s="383" t="s">
        <v>453</v>
      </c>
      <c r="D771" s="384" t="s">
        <v>304</v>
      </c>
      <c r="E771" s="385">
        <v>4.8</v>
      </c>
      <c r="F771" s="386">
        <f>$F$311</f>
        <v>7.54</v>
      </c>
      <c r="G771" s="387">
        <f t="shared" si="25"/>
        <v>36.19</v>
      </c>
      <c r="I771" s="386">
        <v>7.56</v>
      </c>
    </row>
    <row r="772" spans="1:9" s="363" customFormat="1" ht="25.5">
      <c r="A772" s="382" t="s">
        <v>99</v>
      </c>
      <c r="B772" s="389" t="s">
        <v>454</v>
      </c>
      <c r="C772" s="383" t="s">
        <v>455</v>
      </c>
      <c r="D772" s="384" t="s">
        <v>177</v>
      </c>
      <c r="E772" s="385">
        <v>0.8</v>
      </c>
      <c r="F772" s="386">
        <f>$F$756</f>
        <v>7.38</v>
      </c>
      <c r="G772" s="387">
        <f t="shared" si="25"/>
        <v>5.9</v>
      </c>
      <c r="I772" s="386">
        <v>7.4</v>
      </c>
    </row>
    <row r="773" spans="1:9" s="363" customFormat="1" ht="51">
      <c r="A773" s="382" t="s">
        <v>99</v>
      </c>
      <c r="B773" s="389" t="s">
        <v>306</v>
      </c>
      <c r="C773" s="383" t="s">
        <v>307</v>
      </c>
      <c r="D773" s="384" t="s">
        <v>177</v>
      </c>
      <c r="E773" s="385">
        <v>0.8</v>
      </c>
      <c r="F773" s="386">
        <f>$F$262</f>
        <v>18.68</v>
      </c>
      <c r="G773" s="387">
        <f t="shared" si="25"/>
        <v>14.94</v>
      </c>
      <c r="I773" s="386">
        <v>18.72</v>
      </c>
    </row>
    <row r="774" spans="1:9" s="363" customFormat="1" ht="38.25">
      <c r="A774" s="382" t="s">
        <v>99</v>
      </c>
      <c r="B774" s="389" t="s">
        <v>241</v>
      </c>
      <c r="C774" s="383" t="s">
        <v>242</v>
      </c>
      <c r="D774" s="384" t="s">
        <v>177</v>
      </c>
      <c r="E774" s="385">
        <v>0.8</v>
      </c>
      <c r="F774" s="386">
        <f>$F$263</f>
        <v>8.06</v>
      </c>
      <c r="G774" s="387">
        <f t="shared" si="25"/>
        <v>6.45</v>
      </c>
      <c r="I774" s="386">
        <v>8.08</v>
      </c>
    </row>
    <row r="775" spans="1:9" s="363" customFormat="1" ht="25.5">
      <c r="A775" s="382" t="s">
        <v>99</v>
      </c>
      <c r="B775" s="389" t="s">
        <v>456</v>
      </c>
      <c r="C775" s="383" t="s">
        <v>457</v>
      </c>
      <c r="D775" s="384" t="s">
        <v>177</v>
      </c>
      <c r="E775" s="385">
        <v>2.304</v>
      </c>
      <c r="F775" s="386">
        <f>$F$759</f>
        <v>1.53</v>
      </c>
      <c r="G775" s="387">
        <f t="shared" si="25"/>
        <v>3.53</v>
      </c>
      <c r="I775" s="386">
        <v>1.53</v>
      </c>
    </row>
    <row r="776" spans="1:9" s="363" customFormat="1" ht="25.5">
      <c r="A776" s="382" t="s">
        <v>99</v>
      </c>
      <c r="B776" s="389" t="s">
        <v>393</v>
      </c>
      <c r="C776" s="383" t="s">
        <v>394</v>
      </c>
      <c r="D776" s="384" t="s">
        <v>177</v>
      </c>
      <c r="E776" s="385">
        <v>2.304</v>
      </c>
      <c r="F776" s="386">
        <f>$F$760</f>
        <v>16.2</v>
      </c>
      <c r="G776" s="387">
        <f>ROUND(E776*F776,2)</f>
        <v>37.32</v>
      </c>
      <c r="I776" s="386">
        <v>16.24</v>
      </c>
    </row>
    <row r="777" spans="1:9" s="363" customFormat="1" ht="12.75">
      <c r="A777" s="382" t="s">
        <v>197</v>
      </c>
      <c r="B777" s="389" t="s">
        <v>312</v>
      </c>
      <c r="C777" s="383" t="s">
        <v>313</v>
      </c>
      <c r="D777" s="384" t="s">
        <v>314</v>
      </c>
      <c r="E777" s="385">
        <v>2</v>
      </c>
      <c r="F777" s="386">
        <f>$F$402</f>
        <v>27.55</v>
      </c>
      <c r="G777" s="387">
        <f t="shared" si="25"/>
        <v>55.1</v>
      </c>
      <c r="I777" s="386">
        <v>27.61</v>
      </c>
    </row>
    <row r="778" spans="1:14" s="281" customFormat="1" ht="16.5" customHeight="1">
      <c r="A778" s="366" t="s">
        <v>485</v>
      </c>
      <c r="B778" s="365"/>
      <c r="C778" s="365"/>
      <c r="D778" s="365"/>
      <c r="E778" s="365"/>
      <c r="F778" s="364"/>
      <c r="G778" s="397">
        <f>SUM(G770:G771,G777)</f>
        <v>128.29</v>
      </c>
      <c r="H778" s="376"/>
      <c r="I778" s="376"/>
      <c r="K778" s="376"/>
      <c r="L778" s="376"/>
      <c r="M778" s="376"/>
      <c r="N778" s="376"/>
    </row>
    <row r="779" spans="1:14" s="281" customFormat="1" ht="16.5" customHeight="1">
      <c r="A779" s="366" t="s">
        <v>488</v>
      </c>
      <c r="B779" s="365"/>
      <c r="C779" s="365"/>
      <c r="D779" s="365"/>
      <c r="E779" s="365"/>
      <c r="F779" s="364"/>
      <c r="G779" s="397">
        <f>SUM(G772:G776)</f>
        <v>68.14</v>
      </c>
      <c r="H779" s="376"/>
      <c r="I779" s="376"/>
      <c r="J779" s="376"/>
      <c r="K779" s="376"/>
      <c r="L779" s="376"/>
      <c r="M779" s="376"/>
      <c r="N779" s="376"/>
    </row>
    <row r="780" spans="1:14" s="281" customFormat="1" ht="16.5" customHeight="1">
      <c r="A780" s="369" t="s">
        <v>486</v>
      </c>
      <c r="B780" s="368"/>
      <c r="C780" s="368"/>
      <c r="D780" s="368"/>
      <c r="E780" s="368"/>
      <c r="F780" s="367"/>
      <c r="G780" s="398">
        <f>SUM(G778:G779)</f>
        <v>196.43</v>
      </c>
      <c r="H780" s="394"/>
      <c r="I780" s="394"/>
      <c r="J780" s="394"/>
      <c r="K780" s="394"/>
      <c r="L780" s="394"/>
      <c r="M780" s="394"/>
      <c r="N780" s="394"/>
    </row>
    <row r="781" spans="1:14" s="281" customFormat="1" ht="16.5" customHeight="1">
      <c r="A781" s="366" t="s">
        <v>489</v>
      </c>
      <c r="B781" s="365"/>
      <c r="C781" s="365"/>
      <c r="D781" s="365"/>
      <c r="E781" s="365"/>
      <c r="F781" s="364"/>
      <c r="G781" s="397">
        <f>ROUND(G780*$H$8,2)</f>
        <v>57.5</v>
      </c>
      <c r="H781" s="376"/>
      <c r="I781" s="376"/>
      <c r="J781" s="376"/>
      <c r="K781" s="376"/>
      <c r="L781" s="376"/>
      <c r="M781" s="376"/>
      <c r="N781" s="376"/>
    </row>
    <row r="782" spans="1:14" s="281" customFormat="1" ht="16.5" customHeight="1">
      <c r="A782" s="369" t="s">
        <v>487</v>
      </c>
      <c r="B782" s="368"/>
      <c r="C782" s="368"/>
      <c r="D782" s="368"/>
      <c r="E782" s="368"/>
      <c r="F782" s="367"/>
      <c r="G782" s="398">
        <f>SUM(G780:G781)</f>
        <v>253.93</v>
      </c>
      <c r="H782" s="394"/>
      <c r="I782" s="394"/>
      <c r="J782" s="394"/>
      <c r="K782" s="394"/>
      <c r="L782" s="394"/>
      <c r="M782" s="394"/>
      <c r="N782" s="394"/>
    </row>
    <row r="783" spans="2:13" s="124" customFormat="1" ht="15" customHeight="1">
      <c r="B783" s="142"/>
      <c r="E783" s="204"/>
      <c r="F783" s="204"/>
      <c r="G783" s="204"/>
      <c r="I783" s="281"/>
      <c r="J783" s="133"/>
      <c r="K783" s="132"/>
      <c r="L783" s="132"/>
      <c r="M783" s="132"/>
    </row>
    <row r="784" spans="1:9" s="272" customFormat="1" ht="44.25" customHeight="1">
      <c r="A784" s="390" t="str">
        <f>ORÇAMENTO!B88</f>
        <v>CPU</v>
      </c>
      <c r="B784" s="388" t="str">
        <f>ORÇAMENTO!C88</f>
        <v>07</v>
      </c>
      <c r="C784" s="252" t="str">
        <f>ORÇAMENTO!D88</f>
        <v>COLCHAO DE AREIA E=20CM - FORNECIMENTO E INSTALAÇÃO</v>
      </c>
      <c r="D784" s="252"/>
      <c r="E784" s="252"/>
      <c r="F784" s="391" t="s">
        <v>295</v>
      </c>
      <c r="G784" s="396" t="str">
        <f>ORÇAMENTO!E88</f>
        <v>M2</v>
      </c>
      <c r="H784" s="310">
        <f>ORÇAMENTO!L88</f>
        <v>36.07</v>
      </c>
      <c r="I784" s="163" t="s">
        <v>295</v>
      </c>
    </row>
    <row r="785" spans="1:9" s="291" customFormat="1" ht="16.5" customHeight="1">
      <c r="A785" s="391" t="s">
        <v>296</v>
      </c>
      <c r="B785" s="392" t="s">
        <v>102</v>
      </c>
      <c r="C785" s="391" t="s">
        <v>36</v>
      </c>
      <c r="D785" s="399" t="s">
        <v>297</v>
      </c>
      <c r="E785" s="400" t="s">
        <v>26</v>
      </c>
      <c r="F785" s="393" t="s">
        <v>298</v>
      </c>
      <c r="G785" s="393" t="s">
        <v>10</v>
      </c>
      <c r="I785" s="393" t="s">
        <v>298</v>
      </c>
    </row>
    <row r="786" spans="1:9" ht="25.5">
      <c r="A786" s="164" t="s">
        <v>197</v>
      </c>
      <c r="B786" s="165" t="s">
        <v>461</v>
      </c>
      <c r="C786" s="166" t="s">
        <v>462</v>
      </c>
      <c r="D786" s="167" t="s">
        <v>463</v>
      </c>
      <c r="E786" s="168">
        <v>0.23</v>
      </c>
      <c r="F786" s="386">
        <f>ROUND(I786*$I$8,2)</f>
        <v>82.31</v>
      </c>
      <c r="G786" s="169">
        <f>ROUND(E786*F786,2)</f>
        <v>18.93</v>
      </c>
      <c r="I786" s="386">
        <v>82.5</v>
      </c>
    </row>
    <row r="787" spans="1:9" ht="12.75">
      <c r="A787" s="164" t="s">
        <v>99</v>
      </c>
      <c r="B787" s="165" t="s">
        <v>208</v>
      </c>
      <c r="C787" s="166" t="s">
        <v>209</v>
      </c>
      <c r="D787" s="167" t="s">
        <v>103</v>
      </c>
      <c r="E787" s="168">
        <v>1</v>
      </c>
      <c r="F787" s="386">
        <f>ROUND(I787*$J$8,2)</f>
        <v>16.94</v>
      </c>
      <c r="G787" s="169">
        <f>ROUND(E787*F787,2)</f>
        <v>16.94</v>
      </c>
      <c r="I787" s="386">
        <v>17.09</v>
      </c>
    </row>
    <row r="788" spans="1:14" s="281" customFormat="1" ht="16.5" customHeight="1">
      <c r="A788" s="366" t="s">
        <v>485</v>
      </c>
      <c r="B788" s="365"/>
      <c r="C788" s="365"/>
      <c r="D788" s="365"/>
      <c r="E788" s="365"/>
      <c r="F788" s="364"/>
      <c r="G788" s="397">
        <f>SUM(G786)</f>
        <v>18.93</v>
      </c>
      <c r="H788" s="376"/>
      <c r="I788" s="376"/>
      <c r="K788" s="376"/>
      <c r="L788" s="376"/>
      <c r="M788" s="376"/>
      <c r="N788" s="376"/>
    </row>
    <row r="789" spans="1:14" s="281" customFormat="1" ht="16.5" customHeight="1">
      <c r="A789" s="366" t="s">
        <v>488</v>
      </c>
      <c r="B789" s="365"/>
      <c r="C789" s="365"/>
      <c r="D789" s="365"/>
      <c r="E789" s="365"/>
      <c r="F789" s="364"/>
      <c r="G789" s="397">
        <f>SUM(G787)</f>
        <v>16.94</v>
      </c>
      <c r="H789" s="376"/>
      <c r="I789" s="376"/>
      <c r="J789" s="376"/>
      <c r="K789" s="376"/>
      <c r="L789" s="376"/>
      <c r="M789" s="376"/>
      <c r="N789" s="376"/>
    </row>
    <row r="790" spans="1:14" s="281" customFormat="1" ht="16.5" customHeight="1">
      <c r="A790" s="369" t="s">
        <v>486</v>
      </c>
      <c r="B790" s="368"/>
      <c r="C790" s="368"/>
      <c r="D790" s="368"/>
      <c r="E790" s="368"/>
      <c r="F790" s="367"/>
      <c r="G790" s="398">
        <f>SUM(G788:G789)</f>
        <v>35.870000000000005</v>
      </c>
      <c r="H790" s="394"/>
      <c r="I790" s="394"/>
      <c r="J790" s="394"/>
      <c r="K790" s="394"/>
      <c r="L790" s="394"/>
      <c r="M790" s="394"/>
      <c r="N790" s="394"/>
    </row>
    <row r="791" spans="1:14" s="281" customFormat="1" ht="16.5" customHeight="1">
      <c r="A791" s="366" t="s">
        <v>489</v>
      </c>
      <c r="B791" s="365"/>
      <c r="C791" s="365"/>
      <c r="D791" s="365"/>
      <c r="E791" s="365"/>
      <c r="F791" s="364"/>
      <c r="G791" s="397">
        <f>ROUND(G790*$H$8,2)</f>
        <v>10.5</v>
      </c>
      <c r="H791" s="376"/>
      <c r="I791" s="376"/>
      <c r="J791" s="376"/>
      <c r="K791" s="376"/>
      <c r="L791" s="376"/>
      <c r="M791" s="376"/>
      <c r="N791" s="376"/>
    </row>
    <row r="792" spans="1:14" s="281" customFormat="1" ht="16.5" customHeight="1">
      <c r="A792" s="369" t="s">
        <v>487</v>
      </c>
      <c r="B792" s="368"/>
      <c r="C792" s="368"/>
      <c r="D792" s="368"/>
      <c r="E792" s="368"/>
      <c r="F792" s="367"/>
      <c r="G792" s="398">
        <f>SUM(G790:G791)</f>
        <v>46.370000000000005</v>
      </c>
      <c r="H792" s="394"/>
      <c r="I792" s="394"/>
      <c r="J792" s="394"/>
      <c r="K792" s="394"/>
      <c r="L792" s="394"/>
      <c r="M792" s="394"/>
      <c r="N792" s="394"/>
    </row>
    <row r="793" spans="2:13" s="124" customFormat="1" ht="15" customHeight="1">
      <c r="B793" s="142"/>
      <c r="E793" s="204"/>
      <c r="F793" s="204"/>
      <c r="G793" s="204"/>
      <c r="I793" s="281"/>
      <c r="J793" s="133"/>
      <c r="K793" s="132"/>
      <c r="L793" s="132"/>
      <c r="M793" s="132"/>
    </row>
    <row r="794" spans="1:9" s="272" customFormat="1" ht="57" customHeight="1">
      <c r="A794" s="390" t="str">
        <f>ORÇAMENTO!B89</f>
        <v>SINAPI</v>
      </c>
      <c r="B794" s="388" t="str">
        <f>ORÇAMENTO!C89</f>
        <v>102362</v>
      </c>
      <c r="C794" s="252" t="str">
        <f>ORÇAMENTO!D89</f>
        <v>ALAMBRADO PARA QUADRA POLIESPORTIVA, ESTRUTURADO POR TUBOS DE ACO GALVANIZADO, (MONTANTES COM DIAMETRO 2", TRAVESSAS E ESCORAS COM DIÂMETRO 1 ¼), COM TELA DE ARAME GALVANIZADO, FIO 14 BWG E MALHA QUADRADA 5X5CM (EXCETO MURETA). AF_03/2021</v>
      </c>
      <c r="D794" s="252"/>
      <c r="E794" s="252"/>
      <c r="F794" s="391" t="s">
        <v>295</v>
      </c>
      <c r="G794" s="396" t="str">
        <f>ORÇAMENTO!E89</f>
        <v>M2</v>
      </c>
      <c r="H794" s="310">
        <f>ORÇAMENTO!L89</f>
        <v>171.48</v>
      </c>
      <c r="I794" s="163" t="s">
        <v>295</v>
      </c>
    </row>
    <row r="795" spans="1:9" s="291" customFormat="1" ht="16.5" customHeight="1">
      <c r="A795" s="391" t="s">
        <v>296</v>
      </c>
      <c r="B795" s="392" t="s">
        <v>102</v>
      </c>
      <c r="C795" s="391" t="s">
        <v>36</v>
      </c>
      <c r="D795" s="399" t="s">
        <v>297</v>
      </c>
      <c r="E795" s="400" t="s">
        <v>26</v>
      </c>
      <c r="F795" s="393" t="s">
        <v>298</v>
      </c>
      <c r="G795" s="393" t="s">
        <v>10</v>
      </c>
      <c r="I795" s="393" t="s">
        <v>298</v>
      </c>
    </row>
    <row r="796" spans="1:9" s="272" customFormat="1" ht="38.25">
      <c r="A796" s="382" t="s">
        <v>197</v>
      </c>
      <c r="B796" s="389" t="s">
        <v>735</v>
      </c>
      <c r="C796" s="383" t="s">
        <v>736</v>
      </c>
      <c r="D796" s="384" t="s">
        <v>176</v>
      </c>
      <c r="E796" s="385">
        <v>1.0203</v>
      </c>
      <c r="F796" s="386">
        <f>ROUND(I796*$I$8,2)</f>
        <v>26.55</v>
      </c>
      <c r="G796" s="387">
        <f aca="true" t="shared" si="26" ref="G796:G803">ROUND(E796*F796,2)</f>
        <v>27.09</v>
      </c>
      <c r="I796" s="386">
        <v>26.61</v>
      </c>
    </row>
    <row r="797" spans="1:9" s="272" customFormat="1" ht="38.25">
      <c r="A797" s="382" t="s">
        <v>197</v>
      </c>
      <c r="B797" s="389" t="s">
        <v>737</v>
      </c>
      <c r="C797" s="383" t="s">
        <v>738</v>
      </c>
      <c r="D797" s="384" t="s">
        <v>304</v>
      </c>
      <c r="E797" s="385">
        <v>0.6105</v>
      </c>
      <c r="F797" s="386">
        <f>ROUND(I797*$I$8,2)</f>
        <v>90.97</v>
      </c>
      <c r="G797" s="387">
        <f t="shared" si="26"/>
        <v>55.54</v>
      </c>
      <c r="I797" s="386">
        <v>91.18</v>
      </c>
    </row>
    <row r="798" spans="1:9" s="272" customFormat="1" ht="38.25">
      <c r="A798" s="382" t="s">
        <v>197</v>
      </c>
      <c r="B798" s="389" t="s">
        <v>739</v>
      </c>
      <c r="C798" s="383" t="s">
        <v>740</v>
      </c>
      <c r="D798" s="384" t="s">
        <v>304</v>
      </c>
      <c r="E798" s="385">
        <v>0.8701</v>
      </c>
      <c r="F798" s="386">
        <f>ROUND(I798*$I$8,2)</f>
        <v>54.3</v>
      </c>
      <c r="G798" s="387">
        <f t="shared" si="26"/>
        <v>47.25</v>
      </c>
      <c r="I798" s="386">
        <v>54.43</v>
      </c>
    </row>
    <row r="799" spans="1:9" s="272" customFormat="1" ht="25.5">
      <c r="A799" s="382" t="s">
        <v>197</v>
      </c>
      <c r="B799" s="389" t="s">
        <v>741</v>
      </c>
      <c r="C799" s="383" t="s">
        <v>742</v>
      </c>
      <c r="D799" s="384" t="s">
        <v>305</v>
      </c>
      <c r="E799" s="385">
        <v>0.0025</v>
      </c>
      <c r="F799" s="386">
        <f>ROUND(I799*$I$8,2)</f>
        <v>28.74</v>
      </c>
      <c r="G799" s="387">
        <f t="shared" si="26"/>
        <v>0.07</v>
      </c>
      <c r="I799" s="386">
        <v>28.81</v>
      </c>
    </row>
    <row r="800" spans="1:9" s="272" customFormat="1" ht="25.5">
      <c r="A800" s="382" t="s">
        <v>197</v>
      </c>
      <c r="B800" s="389" t="s">
        <v>743</v>
      </c>
      <c r="C800" s="383" t="s">
        <v>744</v>
      </c>
      <c r="D800" s="384" t="s">
        <v>305</v>
      </c>
      <c r="E800" s="385">
        <v>0.0797</v>
      </c>
      <c r="F800" s="386">
        <f>ROUND(I800*$I$8,2)</f>
        <v>22.04</v>
      </c>
      <c r="G800" s="387">
        <f t="shared" si="26"/>
        <v>1.76</v>
      </c>
      <c r="I800" s="386">
        <v>22.09</v>
      </c>
    </row>
    <row r="801" spans="1:9" s="272" customFormat="1" ht="12.75">
      <c r="A801" s="382" t="s">
        <v>99</v>
      </c>
      <c r="B801" s="389" t="s">
        <v>745</v>
      </c>
      <c r="C801" s="383" t="s">
        <v>746</v>
      </c>
      <c r="D801" s="384" t="s">
        <v>103</v>
      </c>
      <c r="E801" s="385">
        <v>0.9774</v>
      </c>
      <c r="F801" s="386">
        <f>ROUND(I801*$J$8,2)</f>
        <v>21.01</v>
      </c>
      <c r="G801" s="387">
        <f t="shared" si="26"/>
        <v>20.54</v>
      </c>
      <c r="I801" s="386">
        <v>21.19</v>
      </c>
    </row>
    <row r="802" spans="1:9" s="272" customFormat="1" ht="12.75">
      <c r="A802" s="382" t="s">
        <v>99</v>
      </c>
      <c r="B802" s="389" t="s">
        <v>208</v>
      </c>
      <c r="C802" s="383" t="s">
        <v>209</v>
      </c>
      <c r="D802" s="384" t="s">
        <v>103</v>
      </c>
      <c r="E802" s="385">
        <v>0.9974</v>
      </c>
      <c r="F802" s="386">
        <f>ROUND(I802*$J$8,2)</f>
        <v>16.94</v>
      </c>
      <c r="G802" s="387">
        <f t="shared" si="26"/>
        <v>16.9</v>
      </c>
      <c r="I802" s="386">
        <v>17.09</v>
      </c>
    </row>
    <row r="803" spans="1:9" s="363" customFormat="1" ht="38.25">
      <c r="A803" s="382" t="s">
        <v>99</v>
      </c>
      <c r="B803" s="389" t="s">
        <v>210</v>
      </c>
      <c r="C803" s="383" t="s">
        <v>211</v>
      </c>
      <c r="D803" s="384" t="s">
        <v>180</v>
      </c>
      <c r="E803" s="385">
        <v>0.0045</v>
      </c>
      <c r="F803" s="386">
        <f>$F$28</f>
        <v>387.74</v>
      </c>
      <c r="G803" s="387">
        <f t="shared" si="26"/>
        <v>1.74</v>
      </c>
      <c r="I803" s="386">
        <v>388.63</v>
      </c>
    </row>
    <row r="804" spans="1:14" s="281" customFormat="1" ht="16.5" customHeight="1">
      <c r="A804" s="366" t="s">
        <v>485</v>
      </c>
      <c r="B804" s="365"/>
      <c r="C804" s="365"/>
      <c r="D804" s="365"/>
      <c r="E804" s="365"/>
      <c r="F804" s="364"/>
      <c r="G804" s="397">
        <f>SUM(G796:G800,G803)</f>
        <v>133.45</v>
      </c>
      <c r="H804" s="376"/>
      <c r="I804" s="376"/>
      <c r="J804" s="376"/>
      <c r="K804" s="376"/>
      <c r="L804" s="376"/>
      <c r="M804" s="376"/>
      <c r="N804" s="376"/>
    </row>
    <row r="805" spans="1:14" s="281" customFormat="1" ht="16.5" customHeight="1">
      <c r="A805" s="366" t="s">
        <v>488</v>
      </c>
      <c r="B805" s="365"/>
      <c r="C805" s="365"/>
      <c r="D805" s="365"/>
      <c r="E805" s="365"/>
      <c r="F805" s="364"/>
      <c r="G805" s="397">
        <f>SUM(G801:G802)</f>
        <v>37.44</v>
      </c>
      <c r="H805" s="376"/>
      <c r="I805" s="376"/>
      <c r="J805" s="376"/>
      <c r="K805" s="376"/>
      <c r="L805" s="376"/>
      <c r="M805" s="376"/>
      <c r="N805" s="376"/>
    </row>
    <row r="806" spans="1:14" s="281" customFormat="1" ht="16.5" customHeight="1">
      <c r="A806" s="369" t="s">
        <v>486</v>
      </c>
      <c r="B806" s="368"/>
      <c r="C806" s="368"/>
      <c r="D806" s="368"/>
      <c r="E806" s="368"/>
      <c r="F806" s="367"/>
      <c r="G806" s="398">
        <f>SUM(G804:G805)</f>
        <v>170.89</v>
      </c>
      <c r="H806" s="394"/>
      <c r="I806" s="394"/>
      <c r="J806" s="394"/>
      <c r="K806" s="394"/>
      <c r="L806" s="394"/>
      <c r="M806" s="394"/>
      <c r="N806" s="394"/>
    </row>
    <row r="807" spans="1:14" s="281" customFormat="1" ht="16.5" customHeight="1">
      <c r="A807" s="366" t="s">
        <v>489</v>
      </c>
      <c r="B807" s="365"/>
      <c r="C807" s="365"/>
      <c r="D807" s="365"/>
      <c r="E807" s="365"/>
      <c r="F807" s="364"/>
      <c r="G807" s="397">
        <f>ROUND(G806*$H$8,2)</f>
        <v>50.02</v>
      </c>
      <c r="H807" s="376"/>
      <c r="I807" s="376"/>
      <c r="J807" s="376"/>
      <c r="K807" s="376"/>
      <c r="L807" s="376"/>
      <c r="M807" s="376"/>
      <c r="N807" s="376"/>
    </row>
    <row r="808" spans="1:14" s="281" customFormat="1" ht="16.5" customHeight="1">
      <c r="A808" s="369" t="s">
        <v>487</v>
      </c>
      <c r="B808" s="368"/>
      <c r="C808" s="368"/>
      <c r="D808" s="368"/>
      <c r="E808" s="368"/>
      <c r="F808" s="367"/>
      <c r="G808" s="398">
        <f>SUM(G806:G807)</f>
        <v>220.91</v>
      </c>
      <c r="H808" s="394"/>
      <c r="I808" s="394"/>
      <c r="J808" s="394"/>
      <c r="K808" s="394"/>
      <c r="L808" s="394"/>
      <c r="M808" s="394"/>
      <c r="N808" s="394"/>
    </row>
    <row r="809" spans="2:13" s="281" customFormat="1" ht="13.5">
      <c r="B809" s="284"/>
      <c r="E809" s="362"/>
      <c r="F809" s="362"/>
      <c r="G809" s="362"/>
      <c r="I809" s="362"/>
      <c r="J809" s="283"/>
      <c r="K809" s="282"/>
      <c r="L809" s="282"/>
      <c r="M809" s="282"/>
    </row>
    <row r="810" spans="1:9" s="272" customFormat="1" ht="35.25" customHeight="1">
      <c r="A810" s="390" t="str">
        <f>ORÇAMENTO!B90</f>
        <v>CPU</v>
      </c>
      <c r="B810" s="388" t="str">
        <f>ORÇAMENTO!C90</f>
        <v>10</v>
      </c>
      <c r="C810" s="252" t="str">
        <f>ORÇAMENTO!D90</f>
        <v>Conjunto de Poste metálico p/ rede de vôlei - FORNECIMENTO E INSTALAÇÃO. </v>
      </c>
      <c r="D810" s="252"/>
      <c r="E810" s="252"/>
      <c r="F810" s="391" t="s">
        <v>295</v>
      </c>
      <c r="G810" s="396" t="str">
        <f>ORÇAMENTO!E90</f>
        <v>UN</v>
      </c>
      <c r="H810" s="310">
        <f>ORÇAMENTO!L90</f>
        <v>3159.5200000000004</v>
      </c>
      <c r="I810" s="163" t="s">
        <v>295</v>
      </c>
    </row>
    <row r="811" spans="1:9" s="291" customFormat="1" ht="16.5" customHeight="1">
      <c r="A811" s="391" t="s">
        <v>296</v>
      </c>
      <c r="B811" s="392" t="s">
        <v>102</v>
      </c>
      <c r="C811" s="391" t="s">
        <v>36</v>
      </c>
      <c r="D811" s="399" t="s">
        <v>297</v>
      </c>
      <c r="E811" s="400" t="s">
        <v>26</v>
      </c>
      <c r="F811" s="393" t="s">
        <v>298</v>
      </c>
      <c r="G811" s="393" t="s">
        <v>10</v>
      </c>
      <c r="I811" s="393" t="s">
        <v>298</v>
      </c>
    </row>
    <row r="812" spans="1:9" ht="12.75">
      <c r="A812" s="164" t="s">
        <v>464</v>
      </c>
      <c r="B812" s="165" t="s">
        <v>465</v>
      </c>
      <c r="C812" s="166" t="s">
        <v>466</v>
      </c>
      <c r="D812" s="167" t="s">
        <v>179</v>
      </c>
      <c r="E812" s="168">
        <v>2</v>
      </c>
      <c r="F812" s="386">
        <f>ROUND(I812*$I$8,2)</f>
        <v>1523.14</v>
      </c>
      <c r="G812" s="169">
        <f>ROUND(E812*F812,2)</f>
        <v>3046.28</v>
      </c>
      <c r="I812" s="386">
        <v>1526.65</v>
      </c>
    </row>
    <row r="813" spans="1:9" ht="25.5">
      <c r="A813" s="164" t="s">
        <v>99</v>
      </c>
      <c r="B813" s="165" t="s">
        <v>216</v>
      </c>
      <c r="C813" s="166" t="s">
        <v>217</v>
      </c>
      <c r="D813" s="167" t="s">
        <v>180</v>
      </c>
      <c r="E813" s="168">
        <v>0.56</v>
      </c>
      <c r="F813" s="386">
        <f>ROUND(I813*$I$8,2)</f>
        <v>67.44</v>
      </c>
      <c r="G813" s="169">
        <f>ROUND(E813*F813,2)</f>
        <v>37.77</v>
      </c>
      <c r="I813" s="386">
        <v>67.6</v>
      </c>
    </row>
    <row r="814" spans="1:9" ht="12.75">
      <c r="A814" s="164" t="s">
        <v>99</v>
      </c>
      <c r="B814" s="165" t="s">
        <v>208</v>
      </c>
      <c r="C814" s="166" t="s">
        <v>209</v>
      </c>
      <c r="D814" s="167" t="s">
        <v>103</v>
      </c>
      <c r="E814" s="168">
        <v>4</v>
      </c>
      <c r="F814" s="386">
        <f>ROUND(I814*$J$8,2)</f>
        <v>16.94</v>
      </c>
      <c r="G814" s="169">
        <f>ROUND(E814*F814,2)</f>
        <v>67.76</v>
      </c>
      <c r="I814" s="386">
        <v>17.09</v>
      </c>
    </row>
    <row r="815" spans="1:14" s="281" customFormat="1" ht="16.5" customHeight="1">
      <c r="A815" s="366" t="s">
        <v>485</v>
      </c>
      <c r="B815" s="365"/>
      <c r="C815" s="365"/>
      <c r="D815" s="365"/>
      <c r="E815" s="365"/>
      <c r="F815" s="364"/>
      <c r="G815" s="397">
        <f>SUM(G812)</f>
        <v>3046.28</v>
      </c>
      <c r="H815" s="376"/>
      <c r="I815" s="376"/>
      <c r="K815" s="376"/>
      <c r="L815" s="376"/>
      <c r="M815" s="376"/>
      <c r="N815" s="376"/>
    </row>
    <row r="816" spans="1:14" s="281" customFormat="1" ht="16.5" customHeight="1">
      <c r="A816" s="366" t="s">
        <v>488</v>
      </c>
      <c r="B816" s="365"/>
      <c r="C816" s="365"/>
      <c r="D816" s="365"/>
      <c r="E816" s="365"/>
      <c r="F816" s="364"/>
      <c r="G816" s="397">
        <f>SUM(G813:G814)</f>
        <v>105.53</v>
      </c>
      <c r="H816" s="376"/>
      <c r="I816" s="376"/>
      <c r="J816" s="376"/>
      <c r="K816" s="376"/>
      <c r="L816" s="376"/>
      <c r="M816" s="376"/>
      <c r="N816" s="376"/>
    </row>
    <row r="817" spans="1:14" s="281" customFormat="1" ht="16.5" customHeight="1">
      <c r="A817" s="369" t="s">
        <v>486</v>
      </c>
      <c r="B817" s="368"/>
      <c r="C817" s="368"/>
      <c r="D817" s="368"/>
      <c r="E817" s="368"/>
      <c r="F817" s="367"/>
      <c r="G817" s="398">
        <f>SUM(G815:G816)</f>
        <v>3151.8100000000004</v>
      </c>
      <c r="H817" s="394"/>
      <c r="I817" s="394"/>
      <c r="J817" s="394"/>
      <c r="K817" s="394"/>
      <c r="L817" s="394"/>
      <c r="M817" s="394"/>
      <c r="N817" s="394"/>
    </row>
    <row r="818" spans="1:14" s="281" customFormat="1" ht="16.5" customHeight="1">
      <c r="A818" s="366" t="s">
        <v>489</v>
      </c>
      <c r="B818" s="365"/>
      <c r="C818" s="365"/>
      <c r="D818" s="365"/>
      <c r="E818" s="365"/>
      <c r="F818" s="364"/>
      <c r="G818" s="397">
        <f>ROUND(G817*$H$8,2)</f>
        <v>922.53</v>
      </c>
      <c r="H818" s="376"/>
      <c r="I818" s="376"/>
      <c r="J818" s="376"/>
      <c r="K818" s="376"/>
      <c r="L818" s="376"/>
      <c r="M818" s="376"/>
      <c r="N818" s="376"/>
    </row>
    <row r="819" spans="1:14" s="281" customFormat="1" ht="16.5" customHeight="1">
      <c r="A819" s="369" t="s">
        <v>487</v>
      </c>
      <c r="B819" s="368"/>
      <c r="C819" s="368"/>
      <c r="D819" s="368"/>
      <c r="E819" s="368"/>
      <c r="F819" s="367"/>
      <c r="G819" s="398">
        <f>SUM(G817:G818)</f>
        <v>4074.34</v>
      </c>
      <c r="H819" s="394"/>
      <c r="I819" s="394"/>
      <c r="J819" s="394"/>
      <c r="K819" s="394"/>
      <c r="L819" s="394"/>
      <c r="M819" s="394"/>
      <c r="N819" s="394"/>
    </row>
    <row r="820" spans="2:13" s="124" customFormat="1" ht="15" customHeight="1">
      <c r="B820" s="142"/>
      <c r="E820" s="204"/>
      <c r="F820" s="204"/>
      <c r="G820" s="204"/>
      <c r="I820" s="281"/>
      <c r="J820" s="133"/>
      <c r="K820" s="132"/>
      <c r="L820" s="132"/>
      <c r="M820" s="132"/>
    </row>
    <row r="821" spans="1:9" s="272" customFormat="1" ht="35.25" customHeight="1">
      <c r="A821" s="390" t="str">
        <f>ORÇAMENTO!B91</f>
        <v>CPU</v>
      </c>
      <c r="B821" s="388" t="str">
        <f>ORÇAMENTO!C91</f>
        <v>11</v>
      </c>
      <c r="C821" s="252" t="str">
        <f>ORÇAMENTO!D91</f>
        <v>Conjunto de Trave metálica p/ futebol - FORNECIMENTO E INSTALAÇÃO. </v>
      </c>
      <c r="D821" s="252"/>
      <c r="E821" s="252"/>
      <c r="F821" s="391" t="s">
        <v>295</v>
      </c>
      <c r="G821" s="396" t="str">
        <f>ORÇAMENTO!E91</f>
        <v>UN</v>
      </c>
      <c r="H821" s="310">
        <f>ORÇAMENTO!L91</f>
        <v>5136.219999999999</v>
      </c>
      <c r="I821" s="163" t="s">
        <v>295</v>
      </c>
    </row>
    <row r="822" spans="1:9" s="291" customFormat="1" ht="16.5" customHeight="1">
      <c r="A822" s="391" t="s">
        <v>296</v>
      </c>
      <c r="B822" s="392" t="s">
        <v>102</v>
      </c>
      <c r="C822" s="391" t="s">
        <v>36</v>
      </c>
      <c r="D822" s="399" t="s">
        <v>297</v>
      </c>
      <c r="E822" s="400" t="s">
        <v>26</v>
      </c>
      <c r="F822" s="393" t="s">
        <v>298</v>
      </c>
      <c r="G822" s="393" t="s">
        <v>10</v>
      </c>
      <c r="I822" s="393" t="s">
        <v>298</v>
      </c>
    </row>
    <row r="823" spans="1:9" ht="12.75">
      <c r="A823" s="164" t="s">
        <v>464</v>
      </c>
      <c r="B823" s="165" t="s">
        <v>467</v>
      </c>
      <c r="C823" s="166" t="s">
        <v>468</v>
      </c>
      <c r="D823" s="167" t="s">
        <v>179</v>
      </c>
      <c r="E823" s="168">
        <v>2</v>
      </c>
      <c r="F823" s="386">
        <f>ROUND(I823*$I$8,2)</f>
        <v>2509.22</v>
      </c>
      <c r="G823" s="169">
        <f>ROUND(E823*F823,2)</f>
        <v>5018.44</v>
      </c>
      <c r="I823" s="386">
        <v>2515</v>
      </c>
    </row>
    <row r="824" spans="1:9" ht="25.5">
      <c r="A824" s="164" t="s">
        <v>99</v>
      </c>
      <c r="B824" s="165" t="s">
        <v>216</v>
      </c>
      <c r="C824" s="166" t="s">
        <v>217</v>
      </c>
      <c r="D824" s="167" t="s">
        <v>180</v>
      </c>
      <c r="E824" s="168">
        <v>0.56</v>
      </c>
      <c r="F824" s="386">
        <f>ROUND(I824*$I$8,2)</f>
        <v>67.44</v>
      </c>
      <c r="G824" s="169">
        <f>ROUND(E824*F824,2)</f>
        <v>37.77</v>
      </c>
      <c r="I824" s="386">
        <v>67.6</v>
      </c>
    </row>
    <row r="825" spans="1:9" ht="12.75">
      <c r="A825" s="164" t="s">
        <v>99</v>
      </c>
      <c r="B825" s="165" t="s">
        <v>208</v>
      </c>
      <c r="C825" s="166" t="s">
        <v>209</v>
      </c>
      <c r="D825" s="167" t="s">
        <v>103</v>
      </c>
      <c r="E825" s="168">
        <v>4</v>
      </c>
      <c r="F825" s="386">
        <f>ROUND(I825*$J$8,2)</f>
        <v>16.94</v>
      </c>
      <c r="G825" s="169">
        <f>ROUND(E825*F825,2)</f>
        <v>67.76</v>
      </c>
      <c r="I825" s="386">
        <v>17.09</v>
      </c>
    </row>
    <row r="826" spans="1:14" s="281" customFormat="1" ht="16.5" customHeight="1">
      <c r="A826" s="366" t="s">
        <v>485</v>
      </c>
      <c r="B826" s="365"/>
      <c r="C826" s="365"/>
      <c r="D826" s="365"/>
      <c r="E826" s="365"/>
      <c r="F826" s="364"/>
      <c r="G826" s="397">
        <f>SUM(G823)</f>
        <v>5018.44</v>
      </c>
      <c r="H826" s="376"/>
      <c r="I826" s="376"/>
      <c r="K826" s="376"/>
      <c r="L826" s="376"/>
      <c r="M826" s="376"/>
      <c r="N826" s="376"/>
    </row>
    <row r="827" spans="1:14" s="281" customFormat="1" ht="16.5" customHeight="1">
      <c r="A827" s="366" t="s">
        <v>488</v>
      </c>
      <c r="B827" s="365"/>
      <c r="C827" s="365"/>
      <c r="D827" s="365"/>
      <c r="E827" s="365"/>
      <c r="F827" s="364"/>
      <c r="G827" s="397">
        <f>SUM(G824:G825)</f>
        <v>105.53</v>
      </c>
      <c r="H827" s="376"/>
      <c r="I827" s="376"/>
      <c r="J827" s="376"/>
      <c r="K827" s="376"/>
      <c r="L827" s="376"/>
      <c r="M827" s="376"/>
      <c r="N827" s="376"/>
    </row>
    <row r="828" spans="1:14" s="281" customFormat="1" ht="16.5" customHeight="1">
      <c r="A828" s="369" t="s">
        <v>486</v>
      </c>
      <c r="B828" s="368"/>
      <c r="C828" s="368"/>
      <c r="D828" s="368"/>
      <c r="E828" s="368"/>
      <c r="F828" s="367"/>
      <c r="G828" s="398">
        <f>SUM(G826:G827)</f>
        <v>5123.969999999999</v>
      </c>
      <c r="H828" s="394"/>
      <c r="I828" s="394"/>
      <c r="J828" s="394"/>
      <c r="K828" s="394"/>
      <c r="L828" s="394"/>
      <c r="M828" s="394"/>
      <c r="N828" s="394"/>
    </row>
    <row r="829" spans="1:14" s="281" customFormat="1" ht="16.5" customHeight="1">
      <c r="A829" s="366" t="s">
        <v>489</v>
      </c>
      <c r="B829" s="365"/>
      <c r="C829" s="365"/>
      <c r="D829" s="365"/>
      <c r="E829" s="365"/>
      <c r="F829" s="364"/>
      <c r="G829" s="397">
        <f>ROUND(G828*$H$8,2)</f>
        <v>1499.79</v>
      </c>
      <c r="H829" s="376"/>
      <c r="I829" s="376"/>
      <c r="J829" s="376"/>
      <c r="K829" s="376"/>
      <c r="L829" s="376"/>
      <c r="M829" s="376"/>
      <c r="N829" s="376"/>
    </row>
    <row r="830" spans="1:14" s="281" customFormat="1" ht="16.5" customHeight="1">
      <c r="A830" s="369" t="s">
        <v>487</v>
      </c>
      <c r="B830" s="368"/>
      <c r="C830" s="368"/>
      <c r="D830" s="368"/>
      <c r="E830" s="368"/>
      <c r="F830" s="367"/>
      <c r="G830" s="398">
        <f>SUM(G828:G829)</f>
        <v>6623.759999999999</v>
      </c>
      <c r="H830" s="394"/>
      <c r="I830" s="394"/>
      <c r="J830" s="394"/>
      <c r="K830" s="394"/>
      <c r="L830" s="394"/>
      <c r="M830" s="394"/>
      <c r="N830" s="394"/>
    </row>
    <row r="831" spans="2:13" s="124" customFormat="1" ht="15" customHeight="1">
      <c r="B831" s="142"/>
      <c r="E831" s="204"/>
      <c r="F831" s="204"/>
      <c r="G831" s="204"/>
      <c r="I831" s="281"/>
      <c r="J831" s="133"/>
      <c r="K831" s="132"/>
      <c r="L831" s="132"/>
      <c r="M831" s="132"/>
    </row>
    <row r="832" spans="1:9" s="272" customFormat="1" ht="35.25" customHeight="1">
      <c r="A832" s="390" t="str">
        <f>ORÇAMENTO!B92</f>
        <v>CPU</v>
      </c>
      <c r="B832" s="388" t="str">
        <f>ORÇAMENTO!C92</f>
        <v>12</v>
      </c>
      <c r="C832" s="252" t="str">
        <f>ORÇAMENTO!D92</f>
        <v>TELA DE NYLON PARA PROTEÇÃO - FORNECIMENTO E INSTALAÇÃO. </v>
      </c>
      <c r="D832" s="252"/>
      <c r="E832" s="252"/>
      <c r="F832" s="391" t="s">
        <v>295</v>
      </c>
      <c r="G832" s="396" t="str">
        <f>ORÇAMENTO!E92</f>
        <v>M2</v>
      </c>
      <c r="H832" s="310">
        <f>ORÇAMENTO!L92</f>
        <v>19.96</v>
      </c>
      <c r="I832" s="163" t="s">
        <v>295</v>
      </c>
    </row>
    <row r="833" spans="1:9" s="291" customFormat="1" ht="16.5" customHeight="1">
      <c r="A833" s="391" t="s">
        <v>296</v>
      </c>
      <c r="B833" s="392" t="s">
        <v>102</v>
      </c>
      <c r="C833" s="391" t="s">
        <v>36</v>
      </c>
      <c r="D833" s="399" t="s">
        <v>297</v>
      </c>
      <c r="E833" s="400" t="s">
        <v>26</v>
      </c>
      <c r="F833" s="393" t="s">
        <v>298</v>
      </c>
      <c r="G833" s="393" t="s">
        <v>10</v>
      </c>
      <c r="I833" s="393" t="s">
        <v>298</v>
      </c>
    </row>
    <row r="834" spans="1:9" ht="12.75">
      <c r="A834" s="164" t="s">
        <v>464</v>
      </c>
      <c r="B834" s="165" t="s">
        <v>469</v>
      </c>
      <c r="C834" s="166" t="s">
        <v>470</v>
      </c>
      <c r="D834" s="167" t="s">
        <v>177</v>
      </c>
      <c r="E834" s="168">
        <v>1</v>
      </c>
      <c r="F834" s="386">
        <f>ROUND(I834*$I$8,2)</f>
        <v>2</v>
      </c>
      <c r="G834" s="169">
        <f>ROUND(E834*F834,2)</f>
        <v>2</v>
      </c>
      <c r="I834" s="386">
        <v>2</v>
      </c>
    </row>
    <row r="835" spans="1:9" ht="12.75">
      <c r="A835" s="164" t="s">
        <v>464</v>
      </c>
      <c r="B835" s="165" t="s">
        <v>471</v>
      </c>
      <c r="C835" s="166" t="s">
        <v>472</v>
      </c>
      <c r="D835" s="167" t="s">
        <v>473</v>
      </c>
      <c r="E835" s="168">
        <v>1</v>
      </c>
      <c r="F835" s="386">
        <f>ROUND(I835*$I$8,2)</f>
        <v>1.6</v>
      </c>
      <c r="G835" s="169">
        <f>ROUND(E835*F835,2)</f>
        <v>1.6</v>
      </c>
      <c r="I835" s="386">
        <v>1.6</v>
      </c>
    </row>
    <row r="836" spans="1:9" ht="12.75">
      <c r="A836" s="164" t="s">
        <v>99</v>
      </c>
      <c r="B836" s="165" t="s">
        <v>208</v>
      </c>
      <c r="C836" s="166" t="s">
        <v>209</v>
      </c>
      <c r="D836" s="167" t="s">
        <v>103</v>
      </c>
      <c r="E836" s="168">
        <v>0.4262</v>
      </c>
      <c r="F836" s="386">
        <f>ROUND(I836*$J$8,2)</f>
        <v>16.94</v>
      </c>
      <c r="G836" s="169">
        <f>ROUND(E836*F836,2)</f>
        <v>7.22</v>
      </c>
      <c r="I836" s="386">
        <v>17.09</v>
      </c>
    </row>
    <row r="837" spans="1:9" ht="12.75">
      <c r="A837" s="164" t="s">
        <v>99</v>
      </c>
      <c r="B837" s="165" t="s">
        <v>448</v>
      </c>
      <c r="C837" s="166" t="s">
        <v>449</v>
      </c>
      <c r="D837" s="167" t="s">
        <v>103</v>
      </c>
      <c r="E837" s="168">
        <v>0.4262</v>
      </c>
      <c r="F837" s="386">
        <f>ROUND(I837*$J$8,2)</f>
        <v>21.13</v>
      </c>
      <c r="G837" s="169">
        <f>ROUND(E837*F837,2)</f>
        <v>9.01</v>
      </c>
      <c r="I837" s="386">
        <v>21.31</v>
      </c>
    </row>
    <row r="838" spans="1:14" s="281" customFormat="1" ht="16.5" customHeight="1">
      <c r="A838" s="366" t="s">
        <v>485</v>
      </c>
      <c r="B838" s="365"/>
      <c r="C838" s="365"/>
      <c r="D838" s="365"/>
      <c r="E838" s="365"/>
      <c r="F838" s="364"/>
      <c r="G838" s="397">
        <f>SUM(G834:G835)</f>
        <v>3.6</v>
      </c>
      <c r="H838" s="376"/>
      <c r="I838" s="376"/>
      <c r="K838" s="376"/>
      <c r="L838" s="376"/>
      <c r="M838" s="376"/>
      <c r="N838" s="376"/>
    </row>
    <row r="839" spans="1:14" s="281" customFormat="1" ht="16.5" customHeight="1">
      <c r="A839" s="366" t="s">
        <v>488</v>
      </c>
      <c r="B839" s="365"/>
      <c r="C839" s="365"/>
      <c r="D839" s="365"/>
      <c r="E839" s="365"/>
      <c r="F839" s="364"/>
      <c r="G839" s="397">
        <f>SUM(G836:G837)</f>
        <v>16.23</v>
      </c>
      <c r="H839" s="376"/>
      <c r="I839" s="376"/>
      <c r="J839" s="376"/>
      <c r="K839" s="376"/>
      <c r="L839" s="376"/>
      <c r="M839" s="376"/>
      <c r="N839" s="376"/>
    </row>
    <row r="840" spans="1:14" s="281" customFormat="1" ht="16.5" customHeight="1">
      <c r="A840" s="369" t="s">
        <v>486</v>
      </c>
      <c r="B840" s="368"/>
      <c r="C840" s="368"/>
      <c r="D840" s="368"/>
      <c r="E840" s="368"/>
      <c r="F840" s="367"/>
      <c r="G840" s="398">
        <f>SUM(G838:G839)</f>
        <v>19.830000000000002</v>
      </c>
      <c r="H840" s="394"/>
      <c r="I840" s="394"/>
      <c r="J840" s="394"/>
      <c r="K840" s="394"/>
      <c r="L840" s="394"/>
      <c r="M840" s="394"/>
      <c r="N840" s="394"/>
    </row>
    <row r="841" spans="1:14" s="281" customFormat="1" ht="16.5" customHeight="1">
      <c r="A841" s="366" t="s">
        <v>489</v>
      </c>
      <c r="B841" s="365"/>
      <c r="C841" s="365"/>
      <c r="D841" s="365"/>
      <c r="E841" s="365"/>
      <c r="F841" s="364"/>
      <c r="G841" s="397">
        <f>ROUND(G840*$H$8,2)</f>
        <v>5.8</v>
      </c>
      <c r="H841" s="376"/>
      <c r="I841" s="376"/>
      <c r="J841" s="376"/>
      <c r="K841" s="376"/>
      <c r="L841" s="376"/>
      <c r="M841" s="376"/>
      <c r="N841" s="376"/>
    </row>
    <row r="842" spans="1:14" s="281" customFormat="1" ht="16.5" customHeight="1">
      <c r="A842" s="369" t="s">
        <v>487</v>
      </c>
      <c r="B842" s="368"/>
      <c r="C842" s="368"/>
      <c r="D842" s="368"/>
      <c r="E842" s="368"/>
      <c r="F842" s="367"/>
      <c r="G842" s="398">
        <f>SUM(G840:G841)</f>
        <v>25.630000000000003</v>
      </c>
      <c r="H842" s="394"/>
      <c r="I842" s="394"/>
      <c r="J842" s="394"/>
      <c r="K842" s="394"/>
      <c r="L842" s="394"/>
      <c r="M842" s="394"/>
      <c r="N842" s="394"/>
    </row>
    <row r="843" spans="2:13" s="124" customFormat="1" ht="15" customHeight="1">
      <c r="B843" s="142"/>
      <c r="E843" s="204"/>
      <c r="F843" s="204"/>
      <c r="G843" s="204"/>
      <c r="I843" s="281"/>
      <c r="J843" s="133"/>
      <c r="K843" s="132"/>
      <c r="L843" s="132"/>
      <c r="M843" s="132"/>
    </row>
    <row r="844" spans="1:9" s="272" customFormat="1" ht="35.25" customHeight="1">
      <c r="A844" s="390" t="str">
        <f>ORÇAMENTO!B94</f>
        <v>CPU</v>
      </c>
      <c r="B844" s="388" t="str">
        <f>ORÇAMENTO!C94</f>
        <v>09</v>
      </c>
      <c r="C844" s="252" t="str">
        <f>ORÇAMENTO!D94</f>
        <v>LIMPEZA GERAL E ENTREGA DA OBRA</v>
      </c>
      <c r="D844" s="252"/>
      <c r="E844" s="252"/>
      <c r="F844" s="391" t="s">
        <v>295</v>
      </c>
      <c r="G844" s="396" t="str">
        <f>ORÇAMENTO!E94</f>
        <v>M2</v>
      </c>
      <c r="H844" s="310">
        <f>ORÇAMENTO!L94</f>
        <v>4.6499999999999995</v>
      </c>
      <c r="I844" s="163" t="s">
        <v>295</v>
      </c>
    </row>
    <row r="845" spans="1:9" s="291" customFormat="1" ht="16.5" customHeight="1">
      <c r="A845" s="391" t="s">
        <v>296</v>
      </c>
      <c r="B845" s="392" t="s">
        <v>102</v>
      </c>
      <c r="C845" s="391" t="s">
        <v>36</v>
      </c>
      <c r="D845" s="399" t="s">
        <v>297</v>
      </c>
      <c r="E845" s="400" t="s">
        <v>26</v>
      </c>
      <c r="F845" s="393" t="s">
        <v>298</v>
      </c>
      <c r="G845" s="393" t="s">
        <v>10</v>
      </c>
      <c r="I845" s="393" t="s">
        <v>298</v>
      </c>
    </row>
    <row r="846" spans="1:9" ht="12.75">
      <c r="A846" s="164" t="s">
        <v>99</v>
      </c>
      <c r="B846" s="165" t="s">
        <v>208</v>
      </c>
      <c r="C846" s="166" t="s">
        <v>209</v>
      </c>
      <c r="D846" s="167" t="s">
        <v>103</v>
      </c>
      <c r="E846" s="168">
        <v>0.25</v>
      </c>
      <c r="F846" s="386">
        <f>ROUND(I846*$J$8,2)</f>
        <v>16.94</v>
      </c>
      <c r="G846" s="169">
        <f>ROUND(E846*F846,2)</f>
        <v>4.24</v>
      </c>
      <c r="I846" s="386">
        <v>17.09</v>
      </c>
    </row>
    <row r="847" spans="1:9" ht="25.5">
      <c r="A847" s="164" t="s">
        <v>197</v>
      </c>
      <c r="B847" s="165" t="s">
        <v>327</v>
      </c>
      <c r="C847" s="166" t="s">
        <v>328</v>
      </c>
      <c r="D847" s="167" t="s">
        <v>314</v>
      </c>
      <c r="E847" s="168">
        <v>0.03</v>
      </c>
      <c r="F847" s="386">
        <f>ROUND(I847*$I$8,2)</f>
        <v>12.57</v>
      </c>
      <c r="G847" s="169">
        <f>ROUND(E847*F847,2)</f>
        <v>0.38</v>
      </c>
      <c r="I847" s="386">
        <v>12.6</v>
      </c>
    </row>
    <row r="848" spans="1:14" s="281" customFormat="1" ht="16.5" customHeight="1">
      <c r="A848" s="366" t="s">
        <v>485</v>
      </c>
      <c r="B848" s="365"/>
      <c r="C848" s="365"/>
      <c r="D848" s="365"/>
      <c r="E848" s="365"/>
      <c r="F848" s="364"/>
      <c r="G848" s="397">
        <f>SUM(G846)</f>
        <v>4.24</v>
      </c>
      <c r="H848" s="376"/>
      <c r="I848" s="376"/>
      <c r="K848" s="376"/>
      <c r="L848" s="376"/>
      <c r="M848" s="376"/>
      <c r="N848" s="376"/>
    </row>
    <row r="849" spans="1:14" s="281" customFormat="1" ht="16.5" customHeight="1">
      <c r="A849" s="366" t="s">
        <v>488</v>
      </c>
      <c r="B849" s="365"/>
      <c r="C849" s="365"/>
      <c r="D849" s="365"/>
      <c r="E849" s="365"/>
      <c r="F849" s="364"/>
      <c r="G849" s="397">
        <f>SUM(G847)</f>
        <v>0.38</v>
      </c>
      <c r="H849" s="376"/>
      <c r="I849" s="376"/>
      <c r="J849" s="376"/>
      <c r="K849" s="376"/>
      <c r="L849" s="376"/>
      <c r="M849" s="376"/>
      <c r="N849" s="376"/>
    </row>
    <row r="850" spans="1:14" s="281" customFormat="1" ht="16.5" customHeight="1">
      <c r="A850" s="369" t="s">
        <v>486</v>
      </c>
      <c r="B850" s="368"/>
      <c r="C850" s="368"/>
      <c r="D850" s="368"/>
      <c r="E850" s="368"/>
      <c r="F850" s="367"/>
      <c r="G850" s="398">
        <f>SUM(G848:G849)</f>
        <v>4.62</v>
      </c>
      <c r="H850" s="394"/>
      <c r="I850" s="394"/>
      <c r="J850" s="394"/>
      <c r="K850" s="394"/>
      <c r="L850" s="394"/>
      <c r="M850" s="394"/>
      <c r="N850" s="394"/>
    </row>
    <row r="851" spans="1:14" s="281" customFormat="1" ht="16.5" customHeight="1">
      <c r="A851" s="366" t="s">
        <v>489</v>
      </c>
      <c r="B851" s="365"/>
      <c r="C851" s="365"/>
      <c r="D851" s="365"/>
      <c r="E851" s="365"/>
      <c r="F851" s="364"/>
      <c r="G851" s="397">
        <f>ROUND(G850*$H$8,2)</f>
        <v>1.35</v>
      </c>
      <c r="H851" s="376"/>
      <c r="I851" s="376"/>
      <c r="J851" s="376"/>
      <c r="K851" s="376"/>
      <c r="L851" s="376"/>
      <c r="M851" s="376"/>
      <c r="N851" s="376"/>
    </row>
    <row r="852" spans="1:14" s="281" customFormat="1" ht="16.5" customHeight="1">
      <c r="A852" s="369" t="s">
        <v>487</v>
      </c>
      <c r="B852" s="368"/>
      <c r="C852" s="368"/>
      <c r="D852" s="368"/>
      <c r="E852" s="368"/>
      <c r="F852" s="367"/>
      <c r="G852" s="398">
        <f>SUM(G850:G851)</f>
        <v>5.970000000000001</v>
      </c>
      <c r="H852" s="394"/>
      <c r="I852" s="394"/>
      <c r="J852" s="394"/>
      <c r="K852" s="394"/>
      <c r="L852" s="394"/>
      <c r="M852" s="394"/>
      <c r="N852" s="394"/>
    </row>
    <row r="853" spans="2:13" s="124" customFormat="1" ht="15" customHeight="1">
      <c r="B853" s="142"/>
      <c r="E853" s="204"/>
      <c r="F853" s="204"/>
      <c r="G853" s="204"/>
      <c r="I853" s="281"/>
      <c r="J853" s="133"/>
      <c r="K853" s="132"/>
      <c r="L853" s="132"/>
      <c r="M853" s="132"/>
    </row>
    <row r="854" spans="2:13" s="281" customFormat="1" ht="13.5">
      <c r="B854" s="284"/>
      <c r="E854" s="415"/>
      <c r="F854" s="415"/>
      <c r="G854" s="415"/>
      <c r="I854" s="415"/>
      <c r="J854" s="283"/>
      <c r="K854" s="282"/>
      <c r="L854" s="282"/>
      <c r="M854" s="282"/>
    </row>
    <row r="856" spans="4:9" ht="13.5">
      <c r="D856" s="40"/>
      <c r="E856" s="40"/>
      <c r="F856" s="266"/>
      <c r="G856" s="41"/>
      <c r="I856" s="266"/>
    </row>
    <row r="857" spans="1:9" ht="14.25">
      <c r="A857" s="136"/>
      <c r="B857" s="145"/>
      <c r="C857" s="137"/>
      <c r="D857" s="138"/>
      <c r="E857" s="139"/>
      <c r="F857" s="266"/>
      <c r="G857" s="41"/>
      <c r="I857" s="266"/>
    </row>
    <row r="858" spans="4:9" ht="13.5">
      <c r="D858" s="40"/>
      <c r="E858" s="40"/>
      <c r="F858" s="380"/>
      <c r="G858" s="41"/>
      <c r="I858" s="380"/>
    </row>
    <row r="859" spans="4:9" ht="12.75">
      <c r="D859" s="40"/>
      <c r="E859" s="40"/>
      <c r="F859" s="380"/>
      <c r="I859" s="380"/>
    </row>
    <row r="860" spans="4:9" ht="13.5">
      <c r="D860" s="40"/>
      <c r="E860" s="40"/>
      <c r="F860" s="380"/>
      <c r="G860" s="41"/>
      <c r="I860" s="380"/>
    </row>
    <row r="861" spans="4:9" ht="12.75">
      <c r="D861" s="40"/>
      <c r="E861" s="40"/>
      <c r="F861" s="380"/>
      <c r="G861" s="40"/>
      <c r="I861" s="380"/>
    </row>
  </sheetData>
  <sheetProtection/>
  <mergeCells count="429">
    <mergeCell ref="A738:F738"/>
    <mergeCell ref="A739:F739"/>
    <mergeCell ref="A746:F746"/>
    <mergeCell ref="A747:F747"/>
    <mergeCell ref="A748:F748"/>
    <mergeCell ref="A749:F749"/>
    <mergeCell ref="A750:F750"/>
    <mergeCell ref="A804:F804"/>
    <mergeCell ref="A805:F805"/>
    <mergeCell ref="A719:F719"/>
    <mergeCell ref="A726:F726"/>
    <mergeCell ref="A727:F727"/>
    <mergeCell ref="A728:F728"/>
    <mergeCell ref="A729:F729"/>
    <mergeCell ref="A730:F730"/>
    <mergeCell ref="A735:F735"/>
    <mergeCell ref="A736:F736"/>
    <mergeCell ref="A737:F737"/>
    <mergeCell ref="A702:F702"/>
    <mergeCell ref="A703:F703"/>
    <mergeCell ref="A704:F704"/>
    <mergeCell ref="A705:F705"/>
    <mergeCell ref="A706:F706"/>
    <mergeCell ref="A715:F715"/>
    <mergeCell ref="A716:F716"/>
    <mergeCell ref="A717:F717"/>
    <mergeCell ref="A718:F718"/>
    <mergeCell ref="A628:F628"/>
    <mergeCell ref="A629:F629"/>
    <mergeCell ref="A630:F630"/>
    <mergeCell ref="A631:F631"/>
    <mergeCell ref="A639:F639"/>
    <mergeCell ref="A640:F640"/>
    <mergeCell ref="A641:F641"/>
    <mergeCell ref="A642:F642"/>
    <mergeCell ref="A643:F643"/>
    <mergeCell ref="A604:F604"/>
    <mergeCell ref="A605:F605"/>
    <mergeCell ref="A606:F606"/>
    <mergeCell ref="A615:F615"/>
    <mergeCell ref="A616:F616"/>
    <mergeCell ref="A617:F617"/>
    <mergeCell ref="A618:F618"/>
    <mergeCell ref="A619:F619"/>
    <mergeCell ref="A627:F627"/>
    <mergeCell ref="A525:F525"/>
    <mergeCell ref="A526:F526"/>
    <mergeCell ref="A534:F534"/>
    <mergeCell ref="A535:F535"/>
    <mergeCell ref="A536:F536"/>
    <mergeCell ref="A537:F537"/>
    <mergeCell ref="A538:F538"/>
    <mergeCell ref="A566:F566"/>
    <mergeCell ref="A567:F567"/>
    <mergeCell ref="A499:F499"/>
    <mergeCell ref="A509:F509"/>
    <mergeCell ref="A510:F510"/>
    <mergeCell ref="A511:F511"/>
    <mergeCell ref="A512:F512"/>
    <mergeCell ref="A513:F513"/>
    <mergeCell ref="A522:F522"/>
    <mergeCell ref="A523:F523"/>
    <mergeCell ref="A524:F524"/>
    <mergeCell ref="A426:F426"/>
    <mergeCell ref="A427:F427"/>
    <mergeCell ref="A428:F428"/>
    <mergeCell ref="A429:F429"/>
    <mergeCell ref="A430:F430"/>
    <mergeCell ref="A447:F447"/>
    <mergeCell ref="A448:F448"/>
    <mergeCell ref="A449:F449"/>
    <mergeCell ref="A450:F450"/>
    <mergeCell ref="A391:F391"/>
    <mergeCell ref="A392:F392"/>
    <mergeCell ref="A393:F393"/>
    <mergeCell ref="A394:F394"/>
    <mergeCell ref="A415:F415"/>
    <mergeCell ref="A416:F416"/>
    <mergeCell ref="A417:F417"/>
    <mergeCell ref="A418:F418"/>
    <mergeCell ref="A419:F419"/>
    <mergeCell ref="A370:F370"/>
    <mergeCell ref="A371:F371"/>
    <mergeCell ref="A372:F372"/>
    <mergeCell ref="A379:F379"/>
    <mergeCell ref="A380:F380"/>
    <mergeCell ref="A381:F381"/>
    <mergeCell ref="A382:F382"/>
    <mergeCell ref="A383:F383"/>
    <mergeCell ref="A390:F390"/>
    <mergeCell ref="A346:F346"/>
    <mergeCell ref="A347:F347"/>
    <mergeCell ref="A356:F356"/>
    <mergeCell ref="A357:F357"/>
    <mergeCell ref="A358:F358"/>
    <mergeCell ref="A359:F359"/>
    <mergeCell ref="A360:F360"/>
    <mergeCell ref="A368:F368"/>
    <mergeCell ref="A369:F369"/>
    <mergeCell ref="A321:F321"/>
    <mergeCell ref="A330:F330"/>
    <mergeCell ref="A331:F331"/>
    <mergeCell ref="A332:F332"/>
    <mergeCell ref="A333:F333"/>
    <mergeCell ref="A334:F334"/>
    <mergeCell ref="A343:F343"/>
    <mergeCell ref="A344:F344"/>
    <mergeCell ref="A345:F345"/>
    <mergeCell ref="A303:F303"/>
    <mergeCell ref="A304:F304"/>
    <mergeCell ref="A305:F305"/>
    <mergeCell ref="A306:F306"/>
    <mergeCell ref="A307:F307"/>
    <mergeCell ref="A317:F317"/>
    <mergeCell ref="A318:F318"/>
    <mergeCell ref="A319:F319"/>
    <mergeCell ref="A320:F320"/>
    <mergeCell ref="A278:F278"/>
    <mergeCell ref="A279:F279"/>
    <mergeCell ref="A280:F280"/>
    <mergeCell ref="A281:F281"/>
    <mergeCell ref="A289:F289"/>
    <mergeCell ref="A290:F290"/>
    <mergeCell ref="A291:F291"/>
    <mergeCell ref="A292:F292"/>
    <mergeCell ref="A293:F293"/>
    <mergeCell ref="A241:F241"/>
    <mergeCell ref="A242:F242"/>
    <mergeCell ref="A243:F243"/>
    <mergeCell ref="A251:F251"/>
    <mergeCell ref="A252:F252"/>
    <mergeCell ref="A253:F253"/>
    <mergeCell ref="A254:F254"/>
    <mergeCell ref="A255:F255"/>
    <mergeCell ref="A277:F277"/>
    <mergeCell ref="A216:F216"/>
    <mergeCell ref="A217:F217"/>
    <mergeCell ref="A226:F226"/>
    <mergeCell ref="A227:F227"/>
    <mergeCell ref="A228:F228"/>
    <mergeCell ref="A229:F229"/>
    <mergeCell ref="A230:F230"/>
    <mergeCell ref="A239:F239"/>
    <mergeCell ref="A240:F240"/>
    <mergeCell ref="A197:F197"/>
    <mergeCell ref="A202:F202"/>
    <mergeCell ref="A203:F203"/>
    <mergeCell ref="A204:F204"/>
    <mergeCell ref="A205:F205"/>
    <mergeCell ref="A206:F206"/>
    <mergeCell ref="A213:F213"/>
    <mergeCell ref="A214:F214"/>
    <mergeCell ref="A215:F215"/>
    <mergeCell ref="A180:F180"/>
    <mergeCell ref="A181:F181"/>
    <mergeCell ref="A182:F182"/>
    <mergeCell ref="A183:F183"/>
    <mergeCell ref="A184:F184"/>
    <mergeCell ref="A193:F193"/>
    <mergeCell ref="A194:F194"/>
    <mergeCell ref="A195:F195"/>
    <mergeCell ref="A196:F196"/>
    <mergeCell ref="A153:F153"/>
    <mergeCell ref="A154:F154"/>
    <mergeCell ref="A155:F155"/>
    <mergeCell ref="A156:F156"/>
    <mergeCell ref="A166:F166"/>
    <mergeCell ref="A167:F167"/>
    <mergeCell ref="A168:F168"/>
    <mergeCell ref="A169:F169"/>
    <mergeCell ref="A170:F170"/>
    <mergeCell ref="A134:F134"/>
    <mergeCell ref="A135:F135"/>
    <mergeCell ref="A136:F136"/>
    <mergeCell ref="A142:F142"/>
    <mergeCell ref="A143:F143"/>
    <mergeCell ref="A144:F144"/>
    <mergeCell ref="A145:F145"/>
    <mergeCell ref="A146:F146"/>
    <mergeCell ref="A152:F152"/>
    <mergeCell ref="A115:F115"/>
    <mergeCell ref="A116:F116"/>
    <mergeCell ref="A122:F122"/>
    <mergeCell ref="A123:F123"/>
    <mergeCell ref="A124:F124"/>
    <mergeCell ref="A125:F125"/>
    <mergeCell ref="A126:F126"/>
    <mergeCell ref="A132:F132"/>
    <mergeCell ref="A133:F133"/>
    <mergeCell ref="C844:E844"/>
    <mergeCell ref="A41:F41"/>
    <mergeCell ref="A42:F42"/>
    <mergeCell ref="A43:F43"/>
    <mergeCell ref="A44:F44"/>
    <mergeCell ref="A45:F45"/>
    <mergeCell ref="A64:F64"/>
    <mergeCell ref="A65:F65"/>
    <mergeCell ref="A66:F66"/>
    <mergeCell ref="A67:F67"/>
    <mergeCell ref="A68:F68"/>
    <mergeCell ref="A78:F78"/>
    <mergeCell ref="A79:F79"/>
    <mergeCell ref="A80:F80"/>
    <mergeCell ref="A81:F81"/>
    <mergeCell ref="A82:F82"/>
    <mergeCell ref="A92:F92"/>
    <mergeCell ref="A93:F93"/>
    <mergeCell ref="A94:F94"/>
    <mergeCell ref="A95:F95"/>
    <mergeCell ref="A96:F96"/>
    <mergeCell ref="A102:F102"/>
    <mergeCell ref="A103:F103"/>
    <mergeCell ref="C741:E741"/>
    <mergeCell ref="C752:E752"/>
    <mergeCell ref="C768:E768"/>
    <mergeCell ref="C784:E784"/>
    <mergeCell ref="C794:E794"/>
    <mergeCell ref="C810:E810"/>
    <mergeCell ref="C821:E821"/>
    <mergeCell ref="C832:E832"/>
    <mergeCell ref="A806:F806"/>
    <mergeCell ref="A807:F807"/>
    <mergeCell ref="A808:F808"/>
    <mergeCell ref="C645:E645"/>
    <mergeCell ref="C656:E656"/>
    <mergeCell ref="C667:E667"/>
    <mergeCell ref="C681:E681"/>
    <mergeCell ref="C690:E690"/>
    <mergeCell ref="C708:E708"/>
    <mergeCell ref="C721:E721"/>
    <mergeCell ref="C732:E732"/>
    <mergeCell ref="A650:F650"/>
    <mergeCell ref="A651:F651"/>
    <mergeCell ref="A652:F652"/>
    <mergeCell ref="A653:F653"/>
    <mergeCell ref="A654:F654"/>
    <mergeCell ref="A661:F661"/>
    <mergeCell ref="A662:F662"/>
    <mergeCell ref="A663:F663"/>
    <mergeCell ref="A664:F664"/>
    <mergeCell ref="A665:F665"/>
    <mergeCell ref="A675:F675"/>
    <mergeCell ref="A676:F676"/>
    <mergeCell ref="A677:F677"/>
    <mergeCell ref="A678:F678"/>
    <mergeCell ref="A679:F679"/>
    <mergeCell ref="C550:E550"/>
    <mergeCell ref="C562:E562"/>
    <mergeCell ref="C572:E572"/>
    <mergeCell ref="C583:E583"/>
    <mergeCell ref="C598:E598"/>
    <mergeCell ref="C608:E608"/>
    <mergeCell ref="C621:E621"/>
    <mergeCell ref="C633:E633"/>
    <mergeCell ref="A568:F568"/>
    <mergeCell ref="A569:F569"/>
    <mergeCell ref="A570:F570"/>
    <mergeCell ref="A577:F577"/>
    <mergeCell ref="A578:F578"/>
    <mergeCell ref="A579:F579"/>
    <mergeCell ref="A580:F580"/>
    <mergeCell ref="A581:F581"/>
    <mergeCell ref="A592:F592"/>
    <mergeCell ref="A593:F593"/>
    <mergeCell ref="A594:F594"/>
    <mergeCell ref="A595:F595"/>
    <mergeCell ref="A596:F596"/>
    <mergeCell ref="A602:F602"/>
    <mergeCell ref="A603:F603"/>
    <mergeCell ref="C442:E442"/>
    <mergeCell ref="C453:E453"/>
    <mergeCell ref="C466:E466"/>
    <mergeCell ref="C484:E484"/>
    <mergeCell ref="C501:E501"/>
    <mergeCell ref="C515:E515"/>
    <mergeCell ref="C528:E528"/>
    <mergeCell ref="C540:E540"/>
    <mergeCell ref="A451:F451"/>
    <mergeCell ref="A460:F460"/>
    <mergeCell ref="A461:F461"/>
    <mergeCell ref="A462:F462"/>
    <mergeCell ref="A463:F463"/>
    <mergeCell ref="A464:F464"/>
    <mergeCell ref="A478:F478"/>
    <mergeCell ref="A479:F479"/>
    <mergeCell ref="A480:F480"/>
    <mergeCell ref="A481:F481"/>
    <mergeCell ref="A482:F482"/>
    <mergeCell ref="A495:F495"/>
    <mergeCell ref="A496:F496"/>
    <mergeCell ref="A497:F497"/>
    <mergeCell ref="A498:F498"/>
    <mergeCell ref="A2:G2"/>
    <mergeCell ref="A8:G8"/>
    <mergeCell ref="A51:F51"/>
    <mergeCell ref="A52:F52"/>
    <mergeCell ref="A53:F53"/>
    <mergeCell ref="A54:F54"/>
    <mergeCell ref="A55:F55"/>
    <mergeCell ref="A762:F762"/>
    <mergeCell ref="A763:F763"/>
    <mergeCell ref="C35:E35"/>
    <mergeCell ref="C47:E47"/>
    <mergeCell ref="C57:E57"/>
    <mergeCell ref="C70:E70"/>
    <mergeCell ref="C84:E84"/>
    <mergeCell ref="C98:E98"/>
    <mergeCell ref="C108:E108"/>
    <mergeCell ref="C118:E118"/>
    <mergeCell ref="C128:E128"/>
    <mergeCell ref="A104:F104"/>
    <mergeCell ref="A105:F105"/>
    <mergeCell ref="A106:F106"/>
    <mergeCell ref="A112:F112"/>
    <mergeCell ref="A113:F113"/>
    <mergeCell ref="A114:F114"/>
    <mergeCell ref="C10:E10"/>
    <mergeCell ref="A16:F16"/>
    <mergeCell ref="A17:F17"/>
    <mergeCell ref="A18:F18"/>
    <mergeCell ref="A14:F14"/>
    <mergeCell ref="A15:F15"/>
    <mergeCell ref="A764:F764"/>
    <mergeCell ref="A765:F765"/>
    <mergeCell ref="A766:F766"/>
    <mergeCell ref="C138:E138"/>
    <mergeCell ref="C148:E148"/>
    <mergeCell ref="C158:E158"/>
    <mergeCell ref="C172:E172"/>
    <mergeCell ref="C186:E186"/>
    <mergeCell ref="C199:E199"/>
    <mergeCell ref="C208:E208"/>
    <mergeCell ref="C219:E219"/>
    <mergeCell ref="C232:E232"/>
    <mergeCell ref="C245:E245"/>
    <mergeCell ref="C257:E257"/>
    <mergeCell ref="E767:G767"/>
    <mergeCell ref="E269:G269"/>
    <mergeCell ref="A29:F29"/>
    <mergeCell ref="A30:F30"/>
    <mergeCell ref="A31:F31"/>
    <mergeCell ref="A32:F32"/>
    <mergeCell ref="A33:F33"/>
    <mergeCell ref="A778:F778"/>
    <mergeCell ref="A779:F779"/>
    <mergeCell ref="A780:F780"/>
    <mergeCell ref="A781:F781"/>
    <mergeCell ref="A782:F782"/>
    <mergeCell ref="A264:F264"/>
    <mergeCell ref="A265:F265"/>
    <mergeCell ref="A266:F266"/>
    <mergeCell ref="A267:F267"/>
    <mergeCell ref="A268:F268"/>
    <mergeCell ref="A788:F788"/>
    <mergeCell ref="A404:F404"/>
    <mergeCell ref="A405:F405"/>
    <mergeCell ref="E549:G549"/>
    <mergeCell ref="C20:E20"/>
    <mergeCell ref="E783:G783"/>
    <mergeCell ref="A789:F789"/>
    <mergeCell ref="A790:F790"/>
    <mergeCell ref="A791:F791"/>
    <mergeCell ref="A792:F792"/>
    <mergeCell ref="A848:F848"/>
    <mergeCell ref="A849:F849"/>
    <mergeCell ref="A850:F850"/>
    <mergeCell ref="A851:F851"/>
    <mergeCell ref="A852:F852"/>
    <mergeCell ref="A815:F815"/>
    <mergeCell ref="A816:F816"/>
    <mergeCell ref="A817:F817"/>
    <mergeCell ref="A818:F818"/>
    <mergeCell ref="A819:F819"/>
    <mergeCell ref="A826:F826"/>
    <mergeCell ref="A827:F827"/>
    <mergeCell ref="A828:F828"/>
    <mergeCell ref="A406:F406"/>
    <mergeCell ref="A407:F407"/>
    <mergeCell ref="E793:G793"/>
    <mergeCell ref="E689:G689"/>
    <mergeCell ref="E409:G409"/>
    <mergeCell ref="A829:F829"/>
    <mergeCell ref="A830:F830"/>
    <mergeCell ref="A838:F838"/>
    <mergeCell ref="A839:F839"/>
    <mergeCell ref="A840:F840"/>
    <mergeCell ref="A841:F841"/>
    <mergeCell ref="A842:F842"/>
    <mergeCell ref="A408:F408"/>
    <mergeCell ref="A436:F436"/>
    <mergeCell ref="A437:F437"/>
    <mergeCell ref="A438:F438"/>
    <mergeCell ref="A439:F439"/>
    <mergeCell ref="A440:F440"/>
    <mergeCell ref="A556:F556"/>
    <mergeCell ref="A557:F557"/>
    <mergeCell ref="A558:F558"/>
    <mergeCell ref="A559:F559"/>
    <mergeCell ref="A560:F560"/>
    <mergeCell ref="A684:F684"/>
    <mergeCell ref="E820:G820"/>
    <mergeCell ref="E843:G843"/>
    <mergeCell ref="E441:G441"/>
    <mergeCell ref="A685:F685"/>
    <mergeCell ref="A686:F686"/>
    <mergeCell ref="A687:F687"/>
    <mergeCell ref="A688:F688"/>
    <mergeCell ref="A544:F544"/>
    <mergeCell ref="A545:F545"/>
    <mergeCell ref="A546:F546"/>
    <mergeCell ref="A547:F547"/>
    <mergeCell ref="A548:F548"/>
    <mergeCell ref="E561:G561"/>
    <mergeCell ref="E853:G853"/>
    <mergeCell ref="E831:G831"/>
    <mergeCell ref="C270:E270"/>
    <mergeCell ref="C283:E283"/>
    <mergeCell ref="C295:E295"/>
    <mergeCell ref="C309:E309"/>
    <mergeCell ref="C323:E323"/>
    <mergeCell ref="C336:E336"/>
    <mergeCell ref="C349:E349"/>
    <mergeCell ref="C362:E362"/>
    <mergeCell ref="C374:E374"/>
    <mergeCell ref="C385:E385"/>
    <mergeCell ref="C396:E396"/>
    <mergeCell ref="C410:E410"/>
    <mergeCell ref="C421:E421"/>
    <mergeCell ref="C432:E432"/>
  </mergeCells>
  <conditionalFormatting sqref="B12:B13 B22:B28 I22 B754:B761 I754 F770 I770 B770:B777 B786:B787 I786 B846:B847 I846 B823:B825 I823 B812:B814 I812 B834:B837 I834 B683 I683 B542:B543 I542 B552:B555 I552 B49:B50 I49 B259:B263 I259 B398:B403 I398 B434:B435 I434 B100:B101 B110:B111 B120:B121 B130:B131 B140:B141 B150:B151 B201 B210:B212 B376:B378 B387:B389 B412:B414 B423:B425 B444:B446 B564:B565 B574:B576 B600:B601 B647:B649 B658:B660 B723:B725 B734 B743:B745 F683 F754 F12:F13 B37:B40 I37 B59:B63 I59 B72:B77 I72 B86:B91 I86 I100 I110 I120 I130 I140 I150 B160:B165 I160 B174:B179 I174 B188:B192 I188 I201 I210 B221:B225 I221 B234:B238 I234 B247:B250 I247 B272:B276 I272 B285:B288 I285 B297:B302 I297 B311:B316 I311 B325:B329 I325 B338:B342 I338 B351:B355 I351 B364:B367 I364 I376 I387 I412 I423 I444 B455:B459 I455 I468 B468:B477 I486 B486:B494 I503 B517:B521 I517 B530:B533 I530 I564 I574 I585 B585:B591 I600 B610:B614 I610 B623:B626 I623 B635:B638 I635 I647 I658 B669:B674 I669 I692 B692:B701 B710:B714 I710 I734 I743 I796 B796:B803 B503:B508 F37:F40 F201 F398:F399 F434:F435 F468:F477 F486:F494 F542:F543 F600:F601 F610:F614 F623:F626 F692:F694 F734 F756 F759:F760 F22:F28 F49:F50 F59:F63 F72:F77 F86:F91 F100:F101 F110:F111 F120:F121 F140:F141 F150:F151 F160:F165 F174:F179 F188:F192 F210:F212 F221:F225 F234:F238 F247:F250 F259:F263 F272:F276 F285:F288 F297:F302 F325:F329 F338:F342 F351:F355 F364:F367 F376:F378 F387:F389 F401:F403 F412:F414 F423:F425 F444:F446 F455:F459 F585:F591 F635:F638 F647:F649 F658:F660 F669:F674 F696:F701 F710:F714 F723:F725 F743:F745 F786:F787 F796:F803 F812:F814 F823:F825 F834:F837 F846:F847 F311:F316 F130:F131 I12:J12 F503:F508 F517:F521 F530:F533 F552:F555 F564:F565 F574:F576">
    <cfRule type="expression" priority="1565" dxfId="3">
      <formula>AND(COMPOSIÇÕES!#REF!="",COMPOSIÇÕES!#REF!="",$D12=2)</formula>
    </cfRule>
    <cfRule type="expression" priority="1566" dxfId="2">
      <formula>AND(COMPOSIÇÕES!#REF!="",COMPOSIÇÕES!#REF!="",$D12=5)</formula>
    </cfRule>
    <cfRule type="expression" priority="1567" dxfId="1">
      <formula>AND(COMPOSIÇÕES!#REF!="",COMPOSIÇÕES!#REF!="",$D12=8)</formula>
    </cfRule>
    <cfRule type="expression" priority="1568" dxfId="0">
      <formula>AND(COMPOSIÇÕES!#REF!="",COMPOSIÇÕES!#REF!="",$D12=11)</formula>
    </cfRule>
  </conditionalFormatting>
  <printOptions horizontalCentered="1"/>
  <pageMargins left="0.3937007874015748" right="0.3937007874015748" top="0.3937007874015748" bottom="0.984251968503937" header="0.35433070866141736" footer="0.3937007874015748"/>
  <pageSetup fitToHeight="0" fitToWidth="1" horizontalDpi="300" verticalDpi="300" orientation="portrait" paperSize="9" scale="82" r:id="rId2"/>
  <headerFooter alignWithMargins="0">
    <oddFooter>&amp;C&amp;"Arial Narrow,Negrito"&amp;9TV VICTOR PRAXEDES, Nº 105, BAIRRO DA QUINTA, CEP 68.786-000.
SANTO ANTONIO DO TAUA – PA
TEMAXCONSTRUTORA@GMAIL.COM / (85) 99820-4301&amp;R&amp;P/&amp;N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Usuário do Windows</cp:lastModifiedBy>
  <cp:lastPrinted>2022-05-30T20:52:20Z</cp:lastPrinted>
  <dcterms:created xsi:type="dcterms:W3CDTF">1997-01-10T22:22:50Z</dcterms:created>
  <dcterms:modified xsi:type="dcterms:W3CDTF">2022-05-30T20:52:22Z</dcterms:modified>
  <cp:category/>
  <cp:version/>
  <cp:contentType/>
  <cp:contentStatus/>
</cp:coreProperties>
</file>