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00" activeTab="0"/>
  </bookViews>
  <sheets>
    <sheet name="Quadra 220V_blocos" sheetId="1" r:id="rId1"/>
    <sheet name="Cronograma FF" sheetId="2" r:id="rId2"/>
    <sheet name="Plan1" sheetId="3" r:id="rId3"/>
  </sheets>
  <definedNames>
    <definedName name="_xlnm.Print_Area" localSheetId="1">'Cronograma FF'!$A$2:$M$62</definedName>
    <definedName name="_xlnm.Print_Area" localSheetId="0">'Quadra 220V_blocos'!$B$4:$J$177</definedName>
  </definedNames>
  <calcPr fullCalcOnLoad="1"/>
</workbook>
</file>

<file path=xl/sharedStrings.xml><?xml version="1.0" encoding="utf-8"?>
<sst xmlns="http://schemas.openxmlformats.org/spreadsheetml/2006/main" count="625" uniqueCount="378">
  <si>
    <t>ITEM</t>
  </si>
  <si>
    <t>m</t>
  </si>
  <si>
    <t>un</t>
  </si>
  <si>
    <t>LOUÇAS E METAIS</t>
  </si>
  <si>
    <t>ESQUADRIAS</t>
  </si>
  <si>
    <t>m²</t>
  </si>
  <si>
    <t>PINTURA</t>
  </si>
  <si>
    <t>1.1</t>
  </si>
  <si>
    <t>2.1</t>
  </si>
  <si>
    <t>2.2</t>
  </si>
  <si>
    <t>4.1</t>
  </si>
  <si>
    <t>4.2</t>
  </si>
  <si>
    <t>5.1</t>
  </si>
  <si>
    <t>6.1</t>
  </si>
  <si>
    <t>6.2</t>
  </si>
  <si>
    <t>6.3</t>
  </si>
  <si>
    <t>6.4</t>
  </si>
  <si>
    <t>6.5</t>
  </si>
  <si>
    <t>6.6</t>
  </si>
  <si>
    <t>6.7</t>
  </si>
  <si>
    <t>7.1</t>
  </si>
  <si>
    <t>8.1</t>
  </si>
  <si>
    <t>9.1</t>
  </si>
  <si>
    <t>9.2</t>
  </si>
  <si>
    <t>10.1</t>
  </si>
  <si>
    <t>11.1</t>
  </si>
  <si>
    <t>11.2</t>
  </si>
  <si>
    <t>12.1</t>
  </si>
  <si>
    <t>12.2</t>
  </si>
  <si>
    <t>14.1</t>
  </si>
  <si>
    <t>4.3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</si>
  <si>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</si>
  <si>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</si>
  <si>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</si>
  <si>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</si>
  <si>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</si>
  <si>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</si>
  <si>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10.2</t>
  </si>
  <si>
    <t>10.3</t>
  </si>
  <si>
    <t>10.6</t>
  </si>
  <si>
    <t>13.4</t>
  </si>
  <si>
    <t>13.5</t>
  </si>
  <si>
    <t>m³</t>
  </si>
  <si>
    <t>Custo TOTAL com BDI incluso</t>
  </si>
  <si>
    <t>Placa de obra em chapa zincada, instalada</t>
  </si>
  <si>
    <t>10.7</t>
  </si>
  <si>
    <t>Reboco de parede, com argamassa traço - 1:2:6 (cimento / cal / areia), espessura 2,0 cm (massa única)</t>
  </si>
  <si>
    <t>SINAPI</t>
  </si>
  <si>
    <t>PORTAS DE MADEIRA</t>
  </si>
  <si>
    <t>FERRAGENS E ACESSÓRIOS</t>
  </si>
  <si>
    <t>Fechadura de embutir completa, para portas de banheiro</t>
  </si>
  <si>
    <t>Fechadura de embutir completa, para portas externas</t>
  </si>
  <si>
    <t>Ducha Higiênica com registro e derivação Izy, código 1984.C37. ACT.CR, DECA, ou equivalente</t>
  </si>
  <si>
    <t>Lavatório Pequeno Ravena/Izy cor Branco Gelo, código: L.915, DECA, ou equivalente, sem coluna,(válvula, sifao e engate flexível cromados), exceto Torneira</t>
  </si>
  <si>
    <t>Torneira para lavatório de mesa bica baixa Izy, código 1193.C37, Deca ou equivalente</t>
  </si>
  <si>
    <t>Papeleira Metálica Linha Izy, código 2020.C37, DECA ou equivalente</t>
  </si>
  <si>
    <t>Barra de apoio, Linha conforto, código 2305.C, cor cromado, DECA ou equivalente</t>
  </si>
  <si>
    <t>Torneira de parede de uso geral com bico para mangueira Izy, código 1153.C37, DECA, ou equivalente</t>
  </si>
  <si>
    <t>Bancada em granito cinza andorinha - espessura 2cm, conforme projeto</t>
  </si>
  <si>
    <t xml:space="preserve">SISTEMAS DE COBERTURA </t>
  </si>
  <si>
    <t>REVESTIMENTOS INTERNOS E EXTERNOS</t>
  </si>
  <si>
    <t xml:space="preserve">Revestimento cerâmico de paredes PEI IV- cerâmica 30 x 40 cm aplicado com argamassa industrializada- incl. rejunte - conforme projeto   </t>
  </si>
  <si>
    <t>SISTEMAS DE PISOS INTERNOS E EXTERNOS (PAVIMENTAÇÃO)</t>
  </si>
  <si>
    <t xml:space="preserve">Soleira em granito cinza andorinha, L=15cm, E=2cm </t>
  </si>
  <si>
    <t xml:space="preserve">Emassamento de lajes internas com massa PVA - 02 demãos </t>
  </si>
  <si>
    <t xml:space="preserve">Pintura em latex PVA 02 demãos sobre lajes internas e externas </t>
  </si>
  <si>
    <t xml:space="preserve">Emassamento de paredes internas com massa PVA - 02 demãos </t>
  </si>
  <si>
    <t>INSTALAÇÃO SANITÁRIA</t>
  </si>
  <si>
    <t>SISTEMA DE PROTEÇÃO CONTRA DESCARGAS ATMOSFÉRICAS (SPDA)</t>
  </si>
  <si>
    <t>10.8</t>
  </si>
  <si>
    <t>INSTALAÇÕES HIDRÁULICA</t>
  </si>
  <si>
    <t>SERVIÇOS COMPLEMENTARES</t>
  </si>
  <si>
    <t>CÓDIGO</t>
  </si>
  <si>
    <t>FONTE</t>
  </si>
  <si>
    <t>SISTEMA DE PROTEÇÃO CONTRA INCÊNCIO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</si>
  <si>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</si>
  <si>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</si>
  <si>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kg</t>
  </si>
  <si>
    <t>5.2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</si>
  <si>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</si>
  <si>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</si>
  <si>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</si>
  <si>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Extintor PQS - 6KG</t>
  </si>
  <si>
    <t>Luminária de emergência de 31 Leds autonomia minima de 1 hora</t>
  </si>
  <si>
    <t>Marcação no Piso - 1 x 1m para hidrante</t>
  </si>
  <si>
    <t>Placa de sinalização em pvc cod 17 - (316x158) Mensagem "Saída"</t>
  </si>
  <si>
    <t>Placa de sinalização em pvc cod 23 - (300x300) Extintor de Incêndio</t>
  </si>
  <si>
    <t>ELETRODUTOS E ACESSÓRIOS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</si>
  <si>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</si>
  <si>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</si>
  <si>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</si>
  <si>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</si>
  <si>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Interruptor simples 10 A, completa</t>
  </si>
  <si>
    <t>4.4</t>
  </si>
  <si>
    <t>10.9</t>
  </si>
  <si>
    <t>12.4</t>
  </si>
  <si>
    <t>12.5</t>
  </si>
  <si>
    <t>12.6</t>
  </si>
  <si>
    <t>12.7</t>
  </si>
  <si>
    <t>12.8</t>
  </si>
  <si>
    <t>12.9</t>
  </si>
  <si>
    <t>12.11</t>
  </si>
  <si>
    <t>12.13</t>
  </si>
  <si>
    <t>12.14</t>
  </si>
  <si>
    <t>13.1</t>
  </si>
  <si>
    <t>13.2</t>
  </si>
  <si>
    <t>13.3</t>
  </si>
  <si>
    <t>14.2</t>
  </si>
  <si>
    <t>QUADRO DE DISTRIBUIÇÃO</t>
  </si>
  <si>
    <t>74209/1</t>
  </si>
  <si>
    <t>74125/1</t>
  </si>
  <si>
    <t>74244/1</t>
  </si>
  <si>
    <t>4.5</t>
  </si>
  <si>
    <t>4.6</t>
  </si>
  <si>
    <t>4.7</t>
  </si>
  <si>
    <t>Piso cerâmico esmaltado PEI V - 40 x 40 cm  aplicado com argamassa industrializada - incl. rejunte - Branco antiderrapante - conforme projeto</t>
  </si>
  <si>
    <t>Cuba de Embutir Oval cor Branco Gelo, código L.37, DECA, ou equivalente, em bancada  e complementos (válvula, sifao e engate flexível cromados), exceto torneira.</t>
  </si>
  <si>
    <t>10.10</t>
  </si>
  <si>
    <t>Registro de pressao com canopla Ø 3/4"</t>
  </si>
  <si>
    <t>Eletroduto PVC rígido roscavel, Ø40mm (DN 1 1/2"), inclusive conexões</t>
  </si>
  <si>
    <t>Tomada universal, 2P+T, 20A/250V, cor branca, completa</t>
  </si>
  <si>
    <t>7.6</t>
  </si>
  <si>
    <t xml:space="preserve">Fornecimento e montagem de estrutura metálica conf. Projeto espec. </t>
  </si>
  <si>
    <t>Pintura epoxi para piso</t>
  </si>
  <si>
    <t>Registro de gaveta bruto, Ø 3/4"</t>
  </si>
  <si>
    <t>Eletroduto PVC flexível corrugado reforçado, Ø25mm (DN 3/4"), inclusive curvas</t>
  </si>
  <si>
    <t>Eletroduto PVC flexível corrugado reforçado, Ø32mm (DN 1"), inclusive curvas</t>
  </si>
  <si>
    <t>Tomada universal, 2P+T, 15A/250v, cor branca, completa</t>
  </si>
  <si>
    <t>cj</t>
  </si>
  <si>
    <t>Pintura em latex acrílico 02 demãos sobre paredes internas e externas</t>
  </si>
  <si>
    <t>Forma de madeira para estrutura de concreto  - reaproveitamento 5X</t>
  </si>
  <si>
    <t>CONCRETO ARMADO - LAJE DE PISO</t>
  </si>
  <si>
    <t>Armação em tela de aço Q-92, aço CA-60, 4,2mm, malha 15X15cm</t>
  </si>
  <si>
    <t xml:space="preserve">Espelho cristal esp. 4mm com moldura de madeira - 60x90 cm </t>
  </si>
  <si>
    <t>REVESTIMENTO - ARQUIBANCADAS</t>
  </si>
  <si>
    <t>REVESTIMENTO CERÂMICOS</t>
  </si>
  <si>
    <t>Revestimento cerâmico de paredes PEI IV - cerâmica 10 x 10 cm aplicado com argamassa industrializada- incl. rejunte - BRANCO - conforme projeto</t>
  </si>
  <si>
    <t>Revestimento cerâmico de paredes PEI IV - cerâmica 10 x 10 cm aplicado com argamassa industrializada- incl. rejunte - AMARELO - conforme projeto</t>
  </si>
  <si>
    <t>Revestimento cerâmico de paredes PEI IV - cerâmica 10 x 10 cm aplicado com argamassa industrializada- incl. rejunte - AZUL - conforme projeto</t>
  </si>
  <si>
    <t>1 - Esta planilha orçamentária refere-se  ao projeto básico da Quadra coberta com vestiário.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</si>
  <si>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Porta de madeira (0,90x2,10 m) - inclusive ferragens, conforme projeto</t>
  </si>
  <si>
    <t>Emboço de paredes em geral, com argamassa traço - 1:2:9 (cimento / cal / areia), espessura 1,5 cm</t>
  </si>
  <si>
    <t>Chapisco em paredes com argamassa traço - 1:3 (cimento / areia)</t>
  </si>
  <si>
    <t>#35 mm²</t>
  </si>
  <si>
    <t>#4 mm²</t>
  </si>
  <si>
    <t>#16 mm²</t>
  </si>
  <si>
    <t>Disjuntor unipolar termomagnetico 10 A</t>
  </si>
  <si>
    <t>Disjuntor bipolar termomagnetico 20 A</t>
  </si>
  <si>
    <t>Disjuntor bipolar termomagnetico 25 A</t>
  </si>
  <si>
    <t>Disjuntor tripolar termomagnetico 150 A</t>
  </si>
  <si>
    <t>Disjuntor tripolar termomagnetico 175 A</t>
  </si>
  <si>
    <t>Eletroduto de aço galvanizado Ø40mm (DN 1 1/2"), inclusive conexões</t>
  </si>
  <si>
    <t>Eletroduto de aço galvanizado Ø32mm (DN 1"), inclusive conexões</t>
  </si>
  <si>
    <t>Eletroduto de aço galvanizado Ø25mm (DN 3/4"), inclusive conexões</t>
  </si>
  <si>
    <t>Quadro de distribuição de sobrepor, com barramento, para até 12 disjuntores padrão europeu (linha branca), exclusive disjuntores</t>
  </si>
  <si>
    <t>Caixa de passagem  de ferro esmaltada 4x2" - fornecimento e instalação</t>
  </si>
  <si>
    <t>Caixa de passagem octogonal de ferro esmaltada 4x4" - fornecimento e instalação</t>
  </si>
  <si>
    <t>Abraçadeira metálica tipo D de 3\4"</t>
  </si>
  <si>
    <t>Abraçadeira metálica tipo D de 1"</t>
  </si>
  <si>
    <t>Abraçadeira metálica tipo D de 1 1/2"</t>
  </si>
  <si>
    <t>Caixa de inspeção 30x30 com tampa de ferro fundido</t>
  </si>
  <si>
    <t>Conector de bronze para haste 5/8"</t>
  </si>
  <si>
    <t>Cordoalha de cobre nu 35 mm²</t>
  </si>
  <si>
    <t>Terminal de pressão tipo prensa com 4 parafusos</t>
  </si>
  <si>
    <t>Bacia Sanitária Convencional Izy,com caixa acoplada, cor Branco Gelo, código P.11, DECA, ou equivalente</t>
  </si>
  <si>
    <t>Caixa Sifonada 150x150x50mm</t>
  </si>
  <si>
    <t>Ralo Seco PVC 100mm - 40mm</t>
  </si>
  <si>
    <t>Sifão de copo 1" - 1 1/2"</t>
  </si>
  <si>
    <t>Válvula para lavatorio 1"</t>
  </si>
  <si>
    <t>Terminal de Ventilação Série Normal 50mm</t>
  </si>
  <si>
    <t>Registro de gaveta bruto, Ø 1 1/2"</t>
  </si>
  <si>
    <t>Registro de gaveta com canopla cromada 1 1/2"</t>
  </si>
  <si>
    <t>Registro de gaveta com canopla cromada 1 1/4"</t>
  </si>
  <si>
    <t>Registro de gaveta com canopla cromada 1"</t>
  </si>
  <si>
    <t>Registro de gaveta com canopla cromada 3/4"</t>
  </si>
  <si>
    <t>Engate flexível plástico 1/2 - 30cm</t>
  </si>
  <si>
    <t>Tê PVC de redução 90º soldável 32mm - 25mm</t>
  </si>
  <si>
    <t>Tê PVC de redução 90º soldável 50mm - 40mm</t>
  </si>
  <si>
    <t>União soldável 20mm</t>
  </si>
  <si>
    <t>União soldável 50mm</t>
  </si>
  <si>
    <t>Flange para caixa d'agua 25mm</t>
  </si>
  <si>
    <t>Flange para caixa d'agua 50mm</t>
  </si>
  <si>
    <t>12.3</t>
  </si>
  <si>
    <t>12.10</t>
  </si>
  <si>
    <t>12.12</t>
  </si>
  <si>
    <t>Luva de aço galvanizado 3/4"</t>
  </si>
  <si>
    <t>Luva de aço galvanizado 1"</t>
  </si>
  <si>
    <t>Luva de aço galvanizado 1 1/2"</t>
  </si>
  <si>
    <t>Bucha e arruema de aço galvanizado 3/4"</t>
  </si>
  <si>
    <t>Bucha e arruela de aço galvanizado 1"</t>
  </si>
  <si>
    <t>Bucha e arruelade aço galvanizado 1 1/2"</t>
  </si>
  <si>
    <t>Corrimão da rampa em tubo de aço galvanizado 1 1/2"</t>
  </si>
  <si>
    <t>Banco retratil para PNE 40x70cm aço inox</t>
  </si>
  <si>
    <t>INSTALAÇÕES DE AGUAS PLUVIAIS</t>
  </si>
  <si>
    <t>Brita nº 2 para calha</t>
  </si>
  <si>
    <t>Piso de cimento desempenado com juntas de dilatação e=10cm</t>
  </si>
  <si>
    <t>Fornecimento e instalação de lona plastica preta</t>
  </si>
  <si>
    <t>5.5</t>
  </si>
  <si>
    <t>Porta de madeira (1,00x2,10 m) e chapa - inclusive ferragens, conforme projeto</t>
  </si>
  <si>
    <t>Bandeiras para porta (1,00x0,80 m) para vidro</t>
  </si>
  <si>
    <r>
      <t>Porta de abrir- Box  em madeira Laminado 0,60x1,70m (PNE),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incluso marco, dobradiças e tarjeta tipo LIVRE/OCUPADOconforme projeto</t>
    </r>
  </si>
  <si>
    <r>
      <t>Porta de abrir- Box  em madeira Laminado 0,90x1,70m,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incluso marco, dobradiças e tarjeta tipo LIVRE/OCUPADOconforme projeto</t>
    </r>
  </si>
  <si>
    <t>Assento plástico Izy, código AP.01, DECA</t>
  </si>
  <si>
    <t>Barra de apoio para lavatório " L ", Linha conforto, aço polido, DECA, ou equivalente</t>
  </si>
  <si>
    <t>Barra de apoio para porta, linha conforto, código 2305,C, cor cromado, DECA ou equivalente</t>
  </si>
  <si>
    <t>Condulete em aluminio tipo T de 3/4", inclusive acessórios</t>
  </si>
  <si>
    <t>Condulete em aluminio tipo L de 3/4", inclusive acessórios</t>
  </si>
  <si>
    <t>Condulete em aluminio tipo TA de 3/4", inclusive acessórios</t>
  </si>
  <si>
    <t>Condulete em aluminio tipo XA de 3/4", inclusive acessórios</t>
  </si>
  <si>
    <t>Haste tipo coopperweld 5/8" x 3m</t>
  </si>
  <si>
    <t>Alambrado para quadra poliesportiva, estruturado por tubos de aço galvanizado 2", com tela de arame galvanizado</t>
  </si>
  <si>
    <t>Pintura esmalte 02 demãos para estrutura metálica e alambrado</t>
  </si>
  <si>
    <t>Pintura prime epoxi 02 demãos para estrutura metálica</t>
  </si>
  <si>
    <t>INSTALAÇÕES ELÉTRICAS E TELEFÔNICAS 220V</t>
  </si>
  <si>
    <t>Concreto para Estrutura fck=25MPa, incluindo preparo, lançamento, adensamento, e=4cm, imclusive juntas de dilatação e selante, coforem especificações técnicas</t>
  </si>
  <si>
    <t>SEDOP</t>
  </si>
  <si>
    <t>SINAPI-I</t>
  </si>
  <si>
    <t>Caixa de inspeção de esgoto em CONCRETO 60x60cm, COM TAMPA</t>
  </si>
  <si>
    <t>VASO SANITARIO SIFONADO CONVENCIONAL PARA PCD SEM FURO FRONTAL COM LOUÇA BRANCA SEM ASSENTO, INCLUSO CONJUNTO DE LIGAÇÃO PARA BACIA SANITÁRIA AJUSTÁVEL - FORNECIMENTO E INSTALAÇÃO.</t>
  </si>
  <si>
    <t>M</t>
  </si>
  <si>
    <t>97599</t>
  </si>
  <si>
    <t>037539</t>
  </si>
  <si>
    <t xml:space="preserve">37560 </t>
  </si>
  <si>
    <t>Equipamento completo p/ quadra de esportes</t>
  </si>
  <si>
    <t>PREFEITURA MUNICIPAL DE IPIXUNA DO PARÁ</t>
  </si>
  <si>
    <t>CNPJ: 83.267.989/0001-21</t>
  </si>
  <si>
    <t>TERMO DE COMPROMISSO N° 3678</t>
  </si>
  <si>
    <t>LOCAL: BAIRRO CENTRO IPIXUNA DO PARÁ</t>
  </si>
  <si>
    <t>ESCOLA BOM PASTOR</t>
  </si>
  <si>
    <t>Proponente</t>
  </si>
  <si>
    <t>Assunto:</t>
  </si>
  <si>
    <t>CRONOGRAMA FISICO FINANCEIRO</t>
  </si>
  <si>
    <t>Empreendimento:</t>
  </si>
  <si>
    <t>Responsável Técnico/CREA</t>
  </si>
  <si>
    <t>BOM PASTOR -  Quadra Coberta Escolar</t>
  </si>
  <si>
    <t>SERVIÇOS</t>
  </si>
  <si>
    <t>Prazo: 180 dias</t>
  </si>
  <si>
    <t>1º ETAPA</t>
  </si>
  <si>
    <t>2º ETAPA</t>
  </si>
  <si>
    <t>3º ETAPA</t>
  </si>
  <si>
    <t>4º ETAPA</t>
  </si>
  <si>
    <t>5º ETAPA</t>
  </si>
  <si>
    <t>6º ETAPA</t>
  </si>
  <si>
    <t>SERVIÇOS PRELIMINARES</t>
  </si>
  <si>
    <t>VALOR DA ETAPA</t>
  </si>
  <si>
    <t>% EXECUTADO ETAPA</t>
  </si>
  <si>
    <t>% ACUMULADO</t>
  </si>
  <si>
    <t xml:space="preserve">INSTALAÇÕES ELÉTRICAS </t>
  </si>
  <si>
    <t>Subtotal item 5</t>
  </si>
  <si>
    <t>Subtotal item 4</t>
  </si>
  <si>
    <t>Subtotal item 3</t>
  </si>
  <si>
    <t>Subtotal item 2</t>
  </si>
  <si>
    <t>Subtotal item 1</t>
  </si>
  <si>
    <t>7.2</t>
  </si>
  <si>
    <t>7.3</t>
  </si>
  <si>
    <t>7.4</t>
  </si>
  <si>
    <t>7.5</t>
  </si>
  <si>
    <t>7.7</t>
  </si>
  <si>
    <t>Subtotal item 7</t>
  </si>
  <si>
    <t>8.2</t>
  </si>
  <si>
    <t>8.3</t>
  </si>
  <si>
    <t>8.4</t>
  </si>
  <si>
    <t>8.5</t>
  </si>
  <si>
    <t>8.6</t>
  </si>
  <si>
    <t>8.7</t>
  </si>
  <si>
    <t>Subtotal item 8</t>
  </si>
  <si>
    <t>10.4</t>
  </si>
  <si>
    <t>10.5</t>
  </si>
  <si>
    <t>10.11</t>
  </si>
  <si>
    <t>10.12</t>
  </si>
  <si>
    <t>10.13</t>
  </si>
  <si>
    <t>10.14</t>
  </si>
  <si>
    <t>Subtotal item 12</t>
  </si>
  <si>
    <t>Subtotal item 11</t>
  </si>
  <si>
    <t>Subtotal item 10</t>
  </si>
  <si>
    <t>Subtotal item 13</t>
  </si>
  <si>
    <t>14.3</t>
  </si>
  <si>
    <t>14.4</t>
  </si>
  <si>
    <t xml:space="preserve">Eng. Civil: Anmerson da Cruz Peixoto                        CREA PA 15.0630033-2 </t>
  </si>
  <si>
    <t>VALOR -R$</t>
  </si>
  <si>
    <t>PLANILHA ORÇAMENTARIA</t>
  </si>
  <si>
    <t>Responsavel Técnico: Eng Civil Anmerson da Cruz Peixoto CREA PA 150630033-2</t>
  </si>
  <si>
    <t>7.8</t>
  </si>
  <si>
    <t>7.9</t>
  </si>
  <si>
    <t>7.10</t>
  </si>
  <si>
    <t>PISO EM GRANILITE, MARMORITE OU GRANITINA EM AMBIENTES INTERNOS</t>
  </si>
  <si>
    <t>Latro de concreto magro,  e=3cm</t>
  </si>
  <si>
    <t>Grade em ferro p/ canaleta l = 0,40m com articulação</t>
  </si>
  <si>
    <t>CHUVEIRO ELÉTRICO COMUM CORPO PLÁSTICO, TIPO DUCHA</t>
  </si>
  <si>
    <t>LUMINÁRIA TIPO CALHA, DE SOBREPOR, COM 2 LÂMPADAS TUBULARES FLUORESCENTES DE 36 W, COM REATOR DE PARTIDA RÁPIDA - FORNECIMENTO E INSTALAÇÃO.</t>
  </si>
  <si>
    <t xml:space="preserve"> UN AS 90,61</t>
  </si>
  <si>
    <t>LUMINÁRIA TIPO CALHA, DE SOBREPOR, COM 1 LÂMPADA TUBULAR FLUORESCENTE DE 36 W, COM REATOR DE PARTIDA RÁPIDA - FORNECIMENTO E INSTALAÇÃO.</t>
  </si>
  <si>
    <t>REFLETOR RETANGULAR FECHADO, COM LÂMPADA VAPOR METÁLICO 400 W</t>
  </si>
  <si>
    <t>ELETRODUTO RÍGIDO ROSCÁVEL, PVC, DN 60 MM (2")</t>
  </si>
  <si>
    <t>Conclusão quadra coberta com vestiario da escola Adelia Sodré</t>
  </si>
  <si>
    <t>3.1</t>
  </si>
  <si>
    <t>5.3</t>
  </si>
  <si>
    <t>5.4</t>
  </si>
  <si>
    <t>5.6</t>
  </si>
  <si>
    <t>5.7</t>
  </si>
  <si>
    <t>8.8</t>
  </si>
  <si>
    <t>8.9</t>
  </si>
  <si>
    <t>11.3</t>
  </si>
  <si>
    <t>11.4</t>
  </si>
  <si>
    <t>11.5</t>
  </si>
  <si>
    <t>13.6</t>
  </si>
  <si>
    <t>2.3</t>
  </si>
  <si>
    <t>2.4</t>
  </si>
  <si>
    <t>2.5</t>
  </si>
  <si>
    <t>2.6</t>
  </si>
  <si>
    <t>2.7</t>
  </si>
  <si>
    <t>2.8</t>
  </si>
  <si>
    <t>5.8</t>
  </si>
  <si>
    <t>7.11</t>
  </si>
  <si>
    <t>7.12</t>
  </si>
  <si>
    <t>7.13</t>
  </si>
  <si>
    <t>7.14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</si>
  <si>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</si>
  <si>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</si>
  <si>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</si>
  <si>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</si>
  <si>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</si>
  <si>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</si>
  <si>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</si>
  <si>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</si>
  <si>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</si>
  <si>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</si>
  <si>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</si>
  <si>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</si>
  <si>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</si>
  <si>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</si>
  <si>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</si>
  <si>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</si>
  <si>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</si>
  <si>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</si>
  <si>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</si>
  <si>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</si>
  <si>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</si>
  <si>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PREFEITURA MUNICIPAL  DE                          IPIXUNA DO PARÁ</t>
  </si>
  <si>
    <t>SEC. MUN. DE OBRAS DE TRANSPORTE, ÁGUAS E URBANISMO</t>
  </si>
  <si>
    <t>PROJETO BASICO</t>
  </si>
  <si>
    <t>Comp. do BDI Com desoneração</t>
  </si>
  <si>
    <t>TAXA DE RATEIO DA ADMINISTRAÇÃO DA OBRA</t>
  </si>
  <si>
    <t>% sobre o CD</t>
  </si>
  <si>
    <t xml:space="preserve">A - Administração Central                                                </t>
  </si>
  <si>
    <t>Sub-total 1</t>
  </si>
  <si>
    <t>TAXA DE RISCO, SEGURO E GARANTIA DO EMPREENDIMENTO</t>
  </si>
  <si>
    <t>% sobre  CD</t>
  </si>
  <si>
    <t xml:space="preserve">Custos Financeiros         CF* (PV - Lucro Operacional) </t>
  </si>
  <si>
    <t xml:space="preserve">D - Riscos                                                                                      </t>
  </si>
  <si>
    <t>E - Seguros e Garantias Contratuais</t>
  </si>
  <si>
    <t>Prazo Médio da Obra</t>
  </si>
  <si>
    <t>meses</t>
  </si>
  <si>
    <t>Sub-total 2</t>
  </si>
  <si>
    <t>TAXA DE LUCRO</t>
  </si>
  <si>
    <r>
      <t xml:space="preserve">F - Lucro Operacional                                    Taxa de Lucro </t>
    </r>
    <r>
      <rPr>
        <sz val="11"/>
        <color indexed="8"/>
        <rFont val="Calibri"/>
        <family val="2"/>
      </rPr>
      <t>≤    6,65%     do    PV</t>
    </r>
  </si>
  <si>
    <t xml:space="preserve">                                                                                                                               Sub-total 3</t>
  </si>
  <si>
    <t>BDI SEM IMPOSTOS (%)                                                              Total (A+B+C+D+E+F)</t>
  </si>
  <si>
    <t>TRIBUTOS INCIDENTES</t>
  </si>
  <si>
    <t xml:space="preserve">G - PIS                                             0,65% </t>
  </si>
  <si>
    <t>H -COFINS                                      3,00% sobre CD</t>
  </si>
  <si>
    <t>I - ISSQN</t>
  </si>
  <si>
    <r>
      <t xml:space="preserve">      2,50% sobre PV                                  Alíquota </t>
    </r>
    <r>
      <rPr>
        <sz val="11"/>
        <color indexed="8"/>
        <rFont val="Calibri"/>
        <family val="2"/>
      </rPr>
      <t xml:space="preserve">≤        5,00%                                 </t>
    </r>
  </si>
  <si>
    <t>J - CPRB (Contribuição Previdenciária sobre a Renda Bruta)</t>
  </si>
  <si>
    <t>Percentual fixo e obrigatório devido a desoneração dos encargos sociais</t>
  </si>
  <si>
    <t xml:space="preserve">                                                                                                                               Sub-total 4</t>
  </si>
  <si>
    <t>BDI com impostos</t>
  </si>
  <si>
    <t>Custo Direto - CD</t>
  </si>
  <si>
    <t>Preço de Venda - PV</t>
  </si>
  <si>
    <t>BDI COM IMPOSTOS</t>
  </si>
  <si>
    <t>% Prestação de Serviços =percentual do custo da mão de obra em relação ao custo total da obra</t>
  </si>
  <si>
    <r>
      <t xml:space="preserve">CD = </t>
    </r>
    <r>
      <rPr>
        <sz val="11"/>
        <color indexed="8"/>
        <rFont val="Calibri"/>
        <family val="2"/>
      </rPr>
      <t>Custo Direto</t>
    </r>
  </si>
  <si>
    <r>
      <t xml:space="preserve">BDI = </t>
    </r>
    <r>
      <rPr>
        <u val="single"/>
        <sz val="10"/>
        <color indexed="8"/>
        <rFont val="Times New Roman"/>
        <family val="1"/>
      </rPr>
      <t>(1+AC+S+R+G)(1+DF)(1+L</t>
    </r>
    <r>
      <rPr>
        <sz val="10"/>
        <color indexed="8"/>
        <rFont val="Times New Roman"/>
        <family val="1"/>
      </rPr>
      <t>) - 1</t>
    </r>
  </si>
  <si>
    <t>Obs:Com desoneração conforme acordão 2622/2013 do TCU (Tribunal de Contas da União)</t>
  </si>
  <si>
    <t xml:space="preserve">                        (1-I)</t>
  </si>
  <si>
    <t>Subtotal item 6</t>
  </si>
  <si>
    <t>Subtotal item 9</t>
  </si>
  <si>
    <t>Subtotal item 14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</si>
</sst>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.##000##"/>
    <numFmt numFmtId="179" formatCode="##.##000"/>
    <numFmt numFmtId="180" formatCode="_(* #,##0.000_);_(* \(#,##0.000\);_(* &quot;-&quot;??_);_(@_)"/>
    <numFmt numFmtId="181" formatCode="_(* #,##0.0000_);_(* \(#,##0.000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Ativado&quot;;&quot;Ativado&quot;;&quot;Desativado&quot;"/>
    <numFmt numFmtId="190" formatCode="#,##0.00&quot; &quot;;&quot; (&quot;#,##0.00&quot;)&quot;;&quot; -&quot;#&quot; &quot;;@&quot; &quot;"/>
    <numFmt numFmtId="191" formatCode="#,##0.00&quot; &quot;;&quot;-&quot;#,##0.00&quot; &quot;;&quot; -&quot;#&quot; &quot;;@&quot; &quot;"/>
    <numFmt numFmtId="192" formatCode="[$R$-416]&quot; &quot;#,##0.00;[Red]&quot;-&quot;[$R$-416]&quot; &quot;#,##0.00"/>
    <numFmt numFmtId="193" formatCode="00\-00\-00"/>
    <numFmt numFmtId="194" formatCode="&quot;R$ &quot;#,##0.00"/>
    <numFmt numFmtId="195" formatCode="#,##0.00;[Red]#,##0.00"/>
    <numFmt numFmtId="196" formatCode="0.0"/>
    <numFmt numFmtId="197" formatCode="0.00000"/>
    <numFmt numFmtId="198" formatCode="0.0000"/>
    <numFmt numFmtId="199" formatCode="0.000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/>
    </border>
    <border>
      <left/>
      <right/>
      <top style="hair"/>
      <bottom style="hair"/>
    </border>
    <border>
      <left style="thin"/>
      <right style="medium"/>
      <top style="hair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0" borderId="0" applyNumberFormat="0" applyBorder="0" applyProtection="0">
      <alignment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190" fontId="45" fillId="0" borderId="0" applyBorder="0" applyProtection="0">
      <alignment/>
    </xf>
    <xf numFmtId="190" fontId="45" fillId="0" borderId="0" applyBorder="0" applyProtection="0">
      <alignment/>
    </xf>
    <xf numFmtId="0" fontId="4" fillId="0" borderId="0">
      <alignment/>
      <protection/>
    </xf>
    <xf numFmtId="0" fontId="45" fillId="0" borderId="0" applyNumberFormat="0" applyBorder="0" applyProtection="0">
      <alignment/>
    </xf>
    <xf numFmtId="0" fontId="52" fillId="0" borderId="0" applyNumberFormat="0" applyBorder="0" applyProtection="0">
      <alignment/>
    </xf>
    <xf numFmtId="191" fontId="52" fillId="0" borderId="0" applyBorder="0" applyProtection="0">
      <alignment/>
    </xf>
    <xf numFmtId="0" fontId="53" fillId="0" borderId="0" applyNumberFormat="0" applyBorder="0" applyProtection="0">
      <alignment horizontal="center"/>
    </xf>
    <xf numFmtId="0" fontId="53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Border="0" applyProtection="0">
      <alignment/>
    </xf>
    <xf numFmtId="192" fontId="56" fillId="0" borderId="0" applyBorder="0" applyProtection="0">
      <alignment/>
    </xf>
    <xf numFmtId="0" fontId="57" fillId="32" borderId="0" applyNumberFormat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45" fillId="0" borderId="0" applyBorder="0" applyProtection="0">
      <alignment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left" vertical="center"/>
      <protection/>
    </xf>
    <xf numFmtId="0" fontId="0" fillId="0" borderId="11" xfId="60" applyFont="1" applyFill="1" applyBorder="1" applyAlignment="1">
      <alignment vertical="center" wrapText="1"/>
      <protection/>
    </xf>
    <xf numFmtId="0" fontId="0" fillId="33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0" fillId="33" borderId="0" xfId="60" applyFont="1" applyFill="1" applyBorder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0" fillId="33" borderId="0" xfId="60" applyFont="1" applyFill="1" applyAlignment="1">
      <alignment vertical="center"/>
      <protection/>
    </xf>
    <xf numFmtId="0" fontId="1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33" borderId="11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right" vertical="center" wrapText="1"/>
      <protection/>
    </xf>
    <xf numFmtId="0" fontId="1" fillId="0" borderId="11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horizontal="left" vertical="center" wrapText="1"/>
      <protection/>
    </xf>
    <xf numFmtId="0" fontId="0" fillId="33" borderId="10" xfId="60" applyFont="1" applyFill="1" applyBorder="1" applyAlignment="1">
      <alignment horizontal="center" vertical="center"/>
      <protection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177" fontId="0" fillId="33" borderId="0" xfId="93" applyFont="1" applyFill="1" applyBorder="1" applyAlignment="1">
      <alignment horizontal="center" vertical="center" wrapText="1"/>
    </xf>
    <xf numFmtId="2" fontId="0" fillId="0" borderId="0" xfId="93" applyNumberFormat="1" applyFont="1" applyAlignment="1">
      <alignment horizontal="right" vertical="center"/>
    </xf>
    <xf numFmtId="177" fontId="0" fillId="33" borderId="0" xfId="93" applyFont="1" applyFill="1" applyAlignment="1">
      <alignment horizontal="center" vertical="center"/>
    </xf>
    <xf numFmtId="177" fontId="1" fillId="0" borderId="0" xfId="93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93" applyFont="1" applyFill="1" applyBorder="1" applyAlignment="1">
      <alignment horizontal="right" vertical="center"/>
    </xf>
    <xf numFmtId="177" fontId="0" fillId="0" borderId="10" xfId="93" applyFont="1" applyBorder="1" applyAlignment="1">
      <alignment horizontal="right" vertical="center"/>
    </xf>
    <xf numFmtId="177" fontId="0" fillId="0" borderId="12" xfId="93" applyFont="1" applyFill="1" applyBorder="1" applyAlignment="1">
      <alignment horizontal="right" vertical="center"/>
    </xf>
    <xf numFmtId="177" fontId="0" fillId="0" borderId="10" xfId="93" applyFont="1" applyFill="1" applyBorder="1" applyAlignment="1">
      <alignment horizontal="right" vertical="center"/>
    </xf>
    <xf numFmtId="177" fontId="0" fillId="0" borderId="10" xfId="93" applyFont="1" applyFill="1" applyBorder="1" applyAlignment="1">
      <alignment vertical="center"/>
    </xf>
    <xf numFmtId="177" fontId="0" fillId="0" borderId="0" xfId="93" applyFont="1" applyBorder="1" applyAlignment="1">
      <alignment horizontal="right" vertical="center"/>
    </xf>
    <xf numFmtId="177" fontId="0" fillId="0" borderId="11" xfId="93" applyFont="1" applyFill="1" applyBorder="1" applyAlignment="1">
      <alignment horizontal="right" vertical="center"/>
    </xf>
    <xf numFmtId="177" fontId="0" fillId="0" borderId="10" xfId="93" applyFont="1" applyFill="1" applyBorder="1" applyAlignment="1">
      <alignment vertical="center" wrapText="1"/>
    </xf>
    <xf numFmtId="177" fontId="0" fillId="0" borderId="10" xfId="93" applyFont="1" applyBorder="1" applyAlignment="1">
      <alignment horizontal="right" vertical="center"/>
    </xf>
    <xf numFmtId="177" fontId="0" fillId="0" borderId="10" xfId="93" applyFont="1" applyFill="1" applyBorder="1" applyAlignment="1">
      <alignment horizontal="center" vertical="center"/>
    </xf>
    <xf numFmtId="177" fontId="0" fillId="0" borderId="0" xfId="93" applyFont="1" applyBorder="1" applyAlignment="1">
      <alignment horizontal="right" vertical="center"/>
    </xf>
    <xf numFmtId="177" fontId="1" fillId="0" borderId="11" xfId="93" applyFont="1" applyFill="1" applyBorder="1" applyAlignment="1">
      <alignment vertical="center"/>
    </xf>
    <xf numFmtId="177" fontId="0" fillId="0" borderId="10" xfId="93" applyFont="1" applyFill="1" applyBorder="1" applyAlignment="1">
      <alignment horizontal="center" vertical="center" wrapText="1"/>
    </xf>
    <xf numFmtId="177" fontId="1" fillId="0" borderId="0" xfId="93" applyFont="1" applyBorder="1" applyAlignment="1">
      <alignment horizontal="right" vertical="center"/>
    </xf>
    <xf numFmtId="177" fontId="0" fillId="0" borderId="0" xfId="93" applyFont="1" applyAlignment="1">
      <alignment horizontal="right" vertical="center"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177" fontId="0" fillId="0" borderId="11" xfId="93" applyFont="1" applyFill="1" applyBorder="1" applyAlignment="1">
      <alignment horizontal="center" vertical="center" wrapText="1"/>
    </xf>
    <xf numFmtId="4" fontId="7" fillId="0" borderId="0" xfId="60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177" fontId="7" fillId="0" borderId="0" xfId="60" applyNumberFormat="1" applyFont="1" applyBorder="1" applyAlignment="1">
      <alignment vertical="center"/>
      <protection/>
    </xf>
    <xf numFmtId="0" fontId="7" fillId="0" borderId="0" xfId="60" applyFont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177" fontId="0" fillId="0" borderId="10" xfId="92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 vertical="center"/>
    </xf>
    <xf numFmtId="177" fontId="0" fillId="33" borderId="0" xfId="93" applyFont="1" applyFill="1" applyAlignment="1">
      <alignment horizontal="right" vertical="center"/>
    </xf>
    <xf numFmtId="177" fontId="1" fillId="0" borderId="0" xfId="93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2" fontId="0" fillId="0" borderId="10" xfId="0" applyNumberFormat="1" applyFont="1" applyFill="1" applyBorder="1" applyAlignment="1" quotePrefix="1">
      <alignment horizontal="right" vertical="center"/>
    </xf>
    <xf numFmtId="177" fontId="1" fillId="0" borderId="11" xfId="93" applyFont="1" applyFill="1" applyBorder="1" applyAlignment="1">
      <alignment horizontal="right" vertical="center"/>
    </xf>
    <xf numFmtId="0" fontId="0" fillId="33" borderId="0" xfId="60" applyFont="1" applyFill="1" applyAlignment="1">
      <alignment horizontal="right" vertical="center"/>
      <protection/>
    </xf>
    <xf numFmtId="43" fontId="1" fillId="0" borderId="0" xfId="60" applyNumberFormat="1" applyFont="1" applyFill="1" applyBorder="1" applyAlignment="1">
      <alignment horizontal="right" vertical="center"/>
      <protection/>
    </xf>
    <xf numFmtId="0" fontId="1" fillId="0" borderId="10" xfId="60" applyFont="1" applyFill="1" applyBorder="1" applyAlignment="1">
      <alignment horizontal="right" vertical="center"/>
      <protection/>
    </xf>
    <xf numFmtId="0" fontId="1" fillId="33" borderId="0" xfId="60" applyFont="1" applyFill="1" applyBorder="1" applyAlignment="1">
      <alignment vertical="center"/>
      <protection/>
    </xf>
    <xf numFmtId="0" fontId="1" fillId="8" borderId="10" xfId="60" applyFont="1" applyFill="1" applyBorder="1" applyAlignment="1">
      <alignment horizontal="center"/>
      <protection/>
    </xf>
    <xf numFmtId="0" fontId="1" fillId="8" borderId="10" xfId="60" applyFont="1" applyFill="1" applyBorder="1" applyAlignment="1">
      <alignment vertical="center"/>
      <protection/>
    </xf>
    <xf numFmtId="177" fontId="1" fillId="8" borderId="10" xfId="93" applyFont="1" applyFill="1" applyBorder="1" applyAlignment="1">
      <alignment vertical="center"/>
    </xf>
    <xf numFmtId="177" fontId="1" fillId="8" borderId="10" xfId="93" applyFont="1" applyFill="1" applyBorder="1" applyAlignment="1">
      <alignment horizontal="right" vertical="center"/>
    </xf>
    <xf numFmtId="0" fontId="1" fillId="8" borderId="10" xfId="60" applyFont="1" applyFill="1" applyBorder="1" applyAlignment="1">
      <alignment horizontal="right" vertical="center"/>
      <protection/>
    </xf>
    <xf numFmtId="49" fontId="1" fillId="8" borderId="15" xfId="60" applyNumberFormat="1" applyFont="1" applyFill="1" applyBorder="1" applyAlignment="1">
      <alignment horizontal="center" vertical="center"/>
      <protection/>
    </xf>
    <xf numFmtId="49" fontId="1" fillId="8" borderId="15" xfId="60" applyNumberFormat="1" applyFont="1" applyFill="1" applyBorder="1" applyAlignment="1">
      <alignment horizontal="left" vertical="center"/>
      <protection/>
    </xf>
    <xf numFmtId="177" fontId="1" fillId="8" borderId="16" xfId="93" applyFont="1" applyFill="1" applyBorder="1" applyAlignment="1">
      <alignment horizontal="center" vertical="center"/>
    </xf>
    <xf numFmtId="4" fontId="1" fillId="8" borderId="15" xfId="60" applyNumberFormat="1" applyFont="1" applyFill="1" applyBorder="1" applyAlignment="1">
      <alignment horizontal="right" vertical="center"/>
      <protection/>
    </xf>
    <xf numFmtId="4" fontId="1" fillId="8" borderId="15" xfId="60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right" vertical="center" wrapText="1"/>
    </xf>
    <xf numFmtId="4" fontId="0" fillId="0" borderId="10" xfId="0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76" fontId="11" fillId="0" borderId="17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34" borderId="20" xfId="0" applyFont="1" applyFill="1" applyBorder="1" applyAlignment="1">
      <alignment vertical="center"/>
    </xf>
    <xf numFmtId="0" fontId="13" fillId="35" borderId="21" xfId="0" applyFont="1" applyFill="1" applyBorder="1" applyAlignment="1">
      <alignment vertical="center"/>
    </xf>
    <xf numFmtId="0" fontId="13" fillId="35" borderId="14" xfId="0" applyFont="1" applyFill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4" fontId="11" fillId="34" borderId="14" xfId="0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176" fontId="11" fillId="0" borderId="12" xfId="58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23" xfId="58" applyFont="1" applyFill="1" applyBorder="1" applyAlignment="1">
      <alignment vertical="center"/>
    </xf>
    <xf numFmtId="176" fontId="11" fillId="0" borderId="14" xfId="58" applyFont="1" applyFill="1" applyBorder="1" applyAlignment="1">
      <alignment vertical="center"/>
    </xf>
    <xf numFmtId="176" fontId="11" fillId="0" borderId="24" xfId="72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/>
    </xf>
    <xf numFmtId="176" fontId="11" fillId="0" borderId="24" xfId="72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43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22" xfId="56" applyFont="1" applyFill="1" applyBorder="1" applyAlignment="1">
      <alignment horizontal="center" vertical="center"/>
    </xf>
    <xf numFmtId="176" fontId="11" fillId="0" borderId="11" xfId="56" applyFont="1" applyFill="1" applyBorder="1" applyAlignment="1">
      <alignment horizontal="center" vertical="center"/>
    </xf>
    <xf numFmtId="176" fontId="11" fillId="0" borderId="11" xfId="56" applyFont="1" applyFill="1" applyBorder="1" applyAlignment="1">
      <alignment vertical="center"/>
    </xf>
    <xf numFmtId="176" fontId="11" fillId="0" borderId="14" xfId="72" applyNumberFormat="1" applyFont="1" applyFill="1" applyBorder="1" applyAlignment="1">
      <alignment horizontal="center" vertical="center"/>
    </xf>
    <xf numFmtId="176" fontId="11" fillId="34" borderId="21" xfId="0" applyNumberFormat="1" applyFont="1" applyFill="1" applyBorder="1" applyAlignment="1">
      <alignment vertical="center"/>
    </xf>
    <xf numFmtId="176" fontId="11" fillId="0" borderId="22" xfId="72" applyNumberFormat="1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left" vertical="center"/>
    </xf>
    <xf numFmtId="0" fontId="12" fillId="8" borderId="19" xfId="0" applyFont="1" applyFill="1" applyBorder="1" applyAlignment="1">
      <alignment vertical="center"/>
    </xf>
    <xf numFmtId="0" fontId="12" fillId="8" borderId="25" xfId="0" applyFont="1" applyFill="1" applyBorder="1" applyAlignment="1">
      <alignment vertical="center"/>
    </xf>
    <xf numFmtId="0" fontId="12" fillId="8" borderId="26" xfId="0" applyFont="1" applyFill="1" applyBorder="1" applyAlignment="1">
      <alignment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left" vertical="center"/>
    </xf>
    <xf numFmtId="0" fontId="12" fillId="8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1" fillId="0" borderId="0" xfId="93" applyFont="1" applyFill="1" applyBorder="1" applyAlignment="1">
      <alignment horizontal="center" vertical="center" wrapText="1"/>
    </xf>
    <xf numFmtId="0" fontId="1" fillId="0" borderId="0" xfId="60" applyFont="1" applyFill="1" applyBorder="1" applyAlignment="1">
      <alignment vertical="center"/>
      <protection/>
    </xf>
    <xf numFmtId="0" fontId="1" fillId="14" borderId="13" xfId="60" applyFont="1" applyFill="1" applyBorder="1" applyAlignment="1">
      <alignment horizontal="center" vertical="center"/>
      <protection/>
    </xf>
    <xf numFmtId="0" fontId="0" fillId="0" borderId="32" xfId="60" applyFont="1" applyFill="1" applyBorder="1" applyAlignment="1">
      <alignment vertical="center"/>
      <protection/>
    </xf>
    <xf numFmtId="177" fontId="0" fillId="0" borderId="10" xfId="88" applyFont="1" applyFill="1" applyBorder="1" applyAlignment="1" quotePrefix="1">
      <alignment horizontal="right" vertical="center"/>
    </xf>
    <xf numFmtId="177" fontId="0" fillId="0" borderId="10" xfId="88" applyFont="1" applyFill="1" applyBorder="1" applyAlignment="1" quotePrefix="1">
      <alignment horizontal="right" vertical="center"/>
    </xf>
    <xf numFmtId="176" fontId="12" fillId="8" borderId="10" xfId="58" applyFont="1" applyFill="1" applyBorder="1" applyAlignment="1">
      <alignment vertical="center"/>
    </xf>
    <xf numFmtId="10" fontId="12" fillId="8" borderId="10" xfId="72" applyNumberFormat="1" applyFont="1" applyFill="1" applyBorder="1" applyAlignment="1">
      <alignment vertical="center"/>
    </xf>
    <xf numFmtId="10" fontId="12" fillId="8" borderId="31" xfId="0" applyNumberFormat="1" applyFont="1" applyFill="1" applyBorder="1" applyAlignment="1">
      <alignment/>
    </xf>
    <xf numFmtId="176" fontId="15" fillId="14" borderId="15" xfId="56" applyFont="1" applyFill="1" applyBorder="1" applyAlignment="1">
      <alignment vertical="center"/>
    </xf>
    <xf numFmtId="0" fontId="0" fillId="0" borderId="13" xfId="60" applyFont="1" applyFill="1" applyBorder="1" applyAlignment="1">
      <alignment horizontal="center" vertical="center"/>
      <protection/>
    </xf>
    <xf numFmtId="0" fontId="1" fillId="0" borderId="33" xfId="60" applyFont="1" applyFill="1" applyBorder="1" applyAlignment="1">
      <alignment horizontal="center"/>
      <protection/>
    </xf>
    <xf numFmtId="177" fontId="1" fillId="0" borderId="34" xfId="93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7" fontId="0" fillId="0" borderId="0" xfId="93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8" borderId="35" xfId="60" applyFont="1" applyFill="1" applyBorder="1" applyAlignment="1">
      <alignment horizontal="center" vertical="center"/>
      <protection/>
    </xf>
    <xf numFmtId="4" fontId="1" fillId="8" borderId="36" xfId="60" applyNumberFormat="1" applyFont="1" applyFill="1" applyBorder="1" applyAlignment="1">
      <alignment vertical="center"/>
      <protection/>
    </xf>
    <xf numFmtId="0" fontId="0" fillId="0" borderId="35" xfId="0" applyFont="1" applyBorder="1" applyAlignment="1">
      <alignment horizontal="center" vertical="center"/>
    </xf>
    <xf numFmtId="4" fontId="0" fillId="0" borderId="36" xfId="93" applyNumberFormat="1" applyFont="1" applyBorder="1" applyAlignment="1">
      <alignment horizontal="right" vertical="center"/>
    </xf>
    <xf numFmtId="4" fontId="1" fillId="0" borderId="36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2" fontId="0" fillId="0" borderId="36" xfId="93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 wrapText="1"/>
    </xf>
    <xf numFmtId="4" fontId="0" fillId="0" borderId="34" xfId="93" applyNumberFormat="1" applyFont="1" applyBorder="1" applyAlignment="1">
      <alignment horizontal="right" vertical="center"/>
    </xf>
    <xf numFmtId="0" fontId="0" fillId="33" borderId="35" xfId="60" applyFont="1" applyFill="1" applyBorder="1" applyAlignment="1">
      <alignment horizontal="center" vertical="center"/>
      <protection/>
    </xf>
    <xf numFmtId="4" fontId="1" fillId="0" borderId="36" xfId="60" applyNumberFormat="1" applyFont="1" applyFill="1" applyBorder="1" applyAlignment="1">
      <alignment vertical="center" wrapText="1"/>
      <protection/>
    </xf>
    <xf numFmtId="0" fontId="1" fillId="0" borderId="35" xfId="60" applyFont="1" applyFill="1" applyBorder="1" applyAlignment="1">
      <alignment horizontal="center" vertical="center"/>
      <protection/>
    </xf>
    <xf numFmtId="4" fontId="1" fillId="0" borderId="36" xfId="60" applyNumberFormat="1" applyFont="1" applyFill="1" applyBorder="1" applyAlignment="1">
      <alignment vertical="center"/>
      <protection/>
    </xf>
    <xf numFmtId="0" fontId="1" fillId="0" borderId="35" xfId="60" applyFont="1" applyFill="1" applyBorder="1" applyAlignment="1">
      <alignment horizontal="center" wrapText="1"/>
      <protection/>
    </xf>
    <xf numFmtId="0" fontId="0" fillId="0" borderId="35" xfId="60" applyFont="1" applyFill="1" applyBorder="1" applyAlignment="1">
      <alignment horizontal="center" vertical="center" wrapText="1"/>
      <protection/>
    </xf>
    <xf numFmtId="0" fontId="0" fillId="8" borderId="38" xfId="0" applyFont="1" applyFill="1" applyBorder="1" applyAlignment="1">
      <alignment horizontal="right" vertical="center"/>
    </xf>
    <xf numFmtId="177" fontId="1" fillId="8" borderId="38" xfId="93" applyFont="1" applyFill="1" applyBorder="1" applyAlignment="1">
      <alignment horizontal="right" vertical="center"/>
    </xf>
    <xf numFmtId="176" fontId="1" fillId="8" borderId="39" xfId="56" applyFont="1" applyFill="1" applyBorder="1" applyAlignment="1">
      <alignment horizontal="right" vertical="center"/>
    </xf>
    <xf numFmtId="0" fontId="67" fillId="0" borderId="33" xfId="61" applyFont="1" applyBorder="1">
      <alignment/>
      <protection/>
    </xf>
    <xf numFmtId="0" fontId="67" fillId="0" borderId="0" xfId="61" applyFont="1" applyBorder="1">
      <alignment/>
      <protection/>
    </xf>
    <xf numFmtId="0" fontId="67" fillId="0" borderId="34" xfId="61" applyFont="1" applyBorder="1">
      <alignment/>
      <protection/>
    </xf>
    <xf numFmtId="0" fontId="68" fillId="0" borderId="40" xfId="61" applyFont="1" applyBorder="1" applyAlignment="1">
      <alignment horizontal="center"/>
      <protection/>
    </xf>
    <xf numFmtId="10" fontId="67" fillId="0" borderId="41" xfId="61" applyNumberFormat="1" applyFont="1" applyBorder="1" applyAlignment="1">
      <alignment horizontal="center"/>
      <protection/>
    </xf>
    <xf numFmtId="10" fontId="68" fillId="0" borderId="42" xfId="61" applyNumberFormat="1" applyFont="1" applyBorder="1" applyAlignment="1">
      <alignment horizontal="center"/>
      <protection/>
    </xf>
    <xf numFmtId="0" fontId="68" fillId="0" borderId="43" xfId="61" applyFont="1" applyBorder="1" applyAlignment="1">
      <alignment horizontal="center" vertical="center"/>
      <protection/>
    </xf>
    <xf numFmtId="10" fontId="67" fillId="0" borderId="44" xfId="61" applyNumberFormat="1" applyFont="1" applyBorder="1" applyAlignment="1">
      <alignment horizontal="center" vertical="center"/>
      <protection/>
    </xf>
    <xf numFmtId="10" fontId="67" fillId="0" borderId="45" xfId="61" applyNumberFormat="1" applyFont="1" applyBorder="1" applyAlignment="1">
      <alignment horizontal="center"/>
      <protection/>
    </xf>
    <xf numFmtId="0" fontId="67" fillId="36" borderId="46" xfId="61" applyFont="1" applyFill="1" applyBorder="1">
      <alignment/>
      <protection/>
    </xf>
    <xf numFmtId="0" fontId="67" fillId="0" borderId="47" xfId="61" applyFont="1" applyBorder="1">
      <alignment/>
      <protection/>
    </xf>
    <xf numFmtId="10" fontId="68" fillId="0" borderId="48" xfId="61" applyNumberFormat="1" applyFont="1" applyBorder="1" applyAlignment="1">
      <alignment horizontal="center" vertical="center"/>
      <protection/>
    </xf>
    <xf numFmtId="0" fontId="68" fillId="0" borderId="49" xfId="61" applyFont="1" applyBorder="1" applyAlignment="1">
      <alignment horizontal="center" vertical="center"/>
      <protection/>
    </xf>
    <xf numFmtId="0" fontId="67" fillId="0" borderId="50" xfId="61" applyFont="1" applyBorder="1" applyAlignment="1">
      <alignment horizontal="left"/>
      <protection/>
    </xf>
    <xf numFmtId="0" fontId="67" fillId="0" borderId="51" xfId="61" applyFont="1" applyBorder="1" applyAlignment="1">
      <alignment horizontal="left"/>
      <protection/>
    </xf>
    <xf numFmtId="0" fontId="67" fillId="0" borderId="51" xfId="61" applyFont="1" applyBorder="1" applyAlignment="1" applyProtection="1">
      <alignment horizontal="left"/>
      <protection locked="0"/>
    </xf>
    <xf numFmtId="0" fontId="67" fillId="0" borderId="52" xfId="61" applyFont="1" applyBorder="1" applyAlignment="1">
      <alignment horizontal="left"/>
      <protection/>
    </xf>
    <xf numFmtId="0" fontId="68" fillId="0" borderId="36" xfId="61" applyFont="1" applyBorder="1" applyAlignment="1">
      <alignment horizontal="center" vertical="center"/>
      <protection/>
    </xf>
    <xf numFmtId="10" fontId="67" fillId="0" borderId="53" xfId="61" applyNumberFormat="1" applyFont="1" applyBorder="1" applyAlignment="1">
      <alignment horizontal="center" vertical="center"/>
      <protection/>
    </xf>
    <xf numFmtId="10" fontId="67" fillId="0" borderId="54" xfId="61" applyNumberFormat="1" applyFont="1" applyBorder="1" applyAlignment="1">
      <alignment horizontal="center" vertical="center"/>
      <protection/>
    </xf>
    <xf numFmtId="0" fontId="67" fillId="0" borderId="55" xfId="61" applyFont="1" applyBorder="1">
      <alignment/>
      <protection/>
    </xf>
    <xf numFmtId="10" fontId="67" fillId="36" borderId="56" xfId="61" applyNumberFormat="1" applyFont="1" applyFill="1" applyBorder="1" applyAlignment="1">
      <alignment horizontal="center"/>
      <protection/>
    </xf>
    <xf numFmtId="10" fontId="67" fillId="0" borderId="57" xfId="61" applyNumberFormat="1" applyFont="1" applyBorder="1" applyAlignment="1">
      <alignment horizontal="center" vertical="center"/>
      <protection/>
    </xf>
    <xf numFmtId="10" fontId="67" fillId="36" borderId="46" xfId="61" applyNumberFormat="1" applyFont="1" applyFill="1" applyBorder="1" applyAlignment="1">
      <alignment horizontal="center" vertical="center"/>
      <protection/>
    </xf>
    <xf numFmtId="10" fontId="68" fillId="0" borderId="58" xfId="61" applyNumberFormat="1" applyFont="1" applyBorder="1" applyAlignment="1">
      <alignment horizontal="center" vertical="center"/>
      <protection/>
    </xf>
    <xf numFmtId="10" fontId="67" fillId="0" borderId="58" xfId="61" applyNumberFormat="1" applyFont="1" applyBorder="1" applyAlignment="1">
      <alignment horizontal="center" vertical="center"/>
      <protection/>
    </xf>
    <xf numFmtId="10" fontId="67" fillId="0" borderId="59" xfId="61" applyNumberFormat="1" applyFont="1" applyBorder="1" applyAlignment="1">
      <alignment horizontal="center" vertical="center"/>
      <protection/>
    </xf>
    <xf numFmtId="10" fontId="68" fillId="0" borderId="60" xfId="61" applyNumberFormat="1" applyFont="1" applyBorder="1" applyAlignment="1">
      <alignment horizontal="center" vertical="center"/>
      <protection/>
    </xf>
    <xf numFmtId="0" fontId="67" fillId="0" borderId="61" xfId="61" applyFont="1" applyBorder="1">
      <alignment/>
      <protection/>
    </xf>
    <xf numFmtId="0" fontId="67" fillId="0" borderId="25" xfId="61" applyFont="1" applyBorder="1">
      <alignment/>
      <protection/>
    </xf>
    <xf numFmtId="0" fontId="67" fillId="0" borderId="26" xfId="61" applyFont="1" applyBorder="1">
      <alignment/>
      <protection/>
    </xf>
    <xf numFmtId="0" fontId="44" fillId="0" borderId="0" xfId="61" applyFont="1" applyBorder="1">
      <alignment/>
      <protection/>
    </xf>
    <xf numFmtId="0" fontId="44" fillId="0" borderId="34" xfId="61" applyFont="1" applyBorder="1">
      <alignment/>
      <protection/>
    </xf>
    <xf numFmtId="0" fontId="69" fillId="0" borderId="33" xfId="0" applyFont="1" applyBorder="1" applyAlignment="1">
      <alignment horizontal="left" vertical="top" readingOrder="1"/>
    </xf>
    <xf numFmtId="0" fontId="44" fillId="0" borderId="0" xfId="61" applyFont="1" applyBorder="1" applyAlignment="1">
      <alignment vertical="top"/>
      <protection/>
    </xf>
    <xf numFmtId="0" fontId="70" fillId="0" borderId="33" xfId="0" applyFont="1" applyBorder="1" applyAlignment="1">
      <alignment horizontal="left" vertical="top" readingOrder="1"/>
    </xf>
    <xf numFmtId="0" fontId="44" fillId="0" borderId="62" xfId="61" applyFont="1" applyBorder="1">
      <alignment/>
      <protection/>
    </xf>
    <xf numFmtId="0" fontId="44" fillId="0" borderId="29" xfId="61" applyFont="1" applyBorder="1">
      <alignment/>
      <protection/>
    </xf>
    <xf numFmtId="0" fontId="44" fillId="0" borderId="63" xfId="61" applyFont="1" applyBorder="1">
      <alignment/>
      <protection/>
    </xf>
    <xf numFmtId="0" fontId="6" fillId="0" borderId="61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26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7" fontId="0" fillId="33" borderId="0" xfId="88" applyFont="1" applyFill="1" applyBorder="1" applyAlignment="1">
      <alignment horizontal="center" vertical="center" wrapText="1"/>
    </xf>
    <xf numFmtId="0" fontId="1" fillId="14" borderId="32" xfId="60" applyFont="1" applyFill="1" applyBorder="1" applyAlignment="1">
      <alignment horizontal="center" vertical="center"/>
      <protection/>
    </xf>
    <xf numFmtId="0" fontId="1" fillId="14" borderId="16" xfId="60" applyFont="1" applyFill="1" applyBorder="1" applyAlignment="1">
      <alignment horizontal="center" vertical="center"/>
      <protection/>
    </xf>
    <xf numFmtId="0" fontId="1" fillId="14" borderId="64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right" vertical="center" wrapText="1"/>
    </xf>
    <xf numFmtId="0" fontId="0" fillId="33" borderId="33" xfId="60" applyFont="1" applyFill="1" applyBorder="1" applyAlignment="1" applyProtection="1">
      <alignment horizontal="left" vertical="center"/>
      <protection locked="0"/>
    </xf>
    <xf numFmtId="0" fontId="0" fillId="33" borderId="0" xfId="60" applyFont="1" applyFill="1" applyBorder="1" applyAlignment="1" applyProtection="1">
      <alignment horizontal="left" vertical="center"/>
      <protection locked="0"/>
    </xf>
    <xf numFmtId="0" fontId="0" fillId="33" borderId="34" xfId="60" applyFont="1" applyFill="1" applyBorder="1" applyAlignment="1" applyProtection="1">
      <alignment horizontal="left" vertical="center"/>
      <protection locked="0"/>
    </xf>
    <xf numFmtId="0" fontId="0" fillId="33" borderId="62" xfId="60" applyFont="1" applyFill="1" applyBorder="1" applyAlignment="1" applyProtection="1">
      <alignment horizontal="left" vertical="center"/>
      <protection locked="0"/>
    </xf>
    <xf numFmtId="0" fontId="0" fillId="33" borderId="29" xfId="60" applyFont="1" applyFill="1" applyBorder="1" applyAlignment="1" applyProtection="1">
      <alignment horizontal="left" vertical="center"/>
      <protection locked="0"/>
    </xf>
    <xf numFmtId="0" fontId="0" fillId="33" borderId="63" xfId="60" applyFont="1" applyFill="1" applyBorder="1" applyAlignment="1" applyProtection="1">
      <alignment horizontal="left" vertical="center"/>
      <protection locked="0"/>
    </xf>
    <xf numFmtId="49" fontId="1" fillId="8" borderId="65" xfId="0" applyNumberFormat="1" applyFont="1" applyFill="1" applyBorder="1" applyAlignment="1">
      <alignment horizontal="right" vertical="center"/>
    </xf>
    <xf numFmtId="49" fontId="1" fillId="8" borderId="38" xfId="0" applyNumberFormat="1" applyFont="1" applyFill="1" applyBorder="1" applyAlignment="1">
      <alignment horizontal="right" vertical="center"/>
    </xf>
    <xf numFmtId="0" fontId="0" fillId="8" borderId="38" xfId="0" applyFont="1" applyFill="1" applyBorder="1" applyAlignment="1">
      <alignment vertical="center"/>
    </xf>
    <xf numFmtId="0" fontId="0" fillId="33" borderId="61" xfId="60" applyNumberFormat="1" applyFont="1" applyFill="1" applyBorder="1" applyAlignment="1" applyProtection="1">
      <alignment horizontal="left" vertical="justify"/>
      <protection locked="0"/>
    </xf>
    <xf numFmtId="0" fontId="0" fillId="33" borderId="25" xfId="60" applyNumberFormat="1" applyFont="1" applyFill="1" applyBorder="1" applyAlignment="1" applyProtection="1">
      <alignment horizontal="left" vertical="justify"/>
      <protection locked="0"/>
    </xf>
    <xf numFmtId="0" fontId="0" fillId="33" borderId="26" xfId="60" applyNumberFormat="1" applyFont="1" applyFill="1" applyBorder="1" applyAlignment="1" applyProtection="1">
      <alignment horizontal="left" vertical="justify"/>
      <protection locked="0"/>
    </xf>
    <xf numFmtId="0" fontId="0" fillId="33" borderId="33" xfId="60" applyNumberFormat="1" applyFont="1" applyFill="1" applyBorder="1" applyAlignment="1" applyProtection="1">
      <alignment horizontal="left" vertical="justify"/>
      <protection locked="0"/>
    </xf>
    <xf numFmtId="0" fontId="0" fillId="33" borderId="0" xfId="60" applyNumberFormat="1" applyFont="1" applyFill="1" applyBorder="1" applyAlignment="1" applyProtection="1">
      <alignment horizontal="left" vertical="justify"/>
      <protection locked="0"/>
    </xf>
    <xf numFmtId="0" fontId="0" fillId="33" borderId="34" xfId="60" applyNumberFormat="1" applyFont="1" applyFill="1" applyBorder="1" applyAlignment="1" applyProtection="1">
      <alignment horizontal="left" vertical="justify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12" fillId="0" borderId="10" xfId="72" applyNumberFormat="1" applyFont="1" applyBorder="1" applyAlignment="1">
      <alignment horizontal="center" vertical="center" wrapText="1"/>
    </xf>
    <xf numFmtId="176" fontId="12" fillId="0" borderId="19" xfId="58" applyFont="1" applyBorder="1" applyAlignment="1">
      <alignment horizontal="center" vertical="center"/>
    </xf>
    <xf numFmtId="176" fontId="12" fillId="0" borderId="26" xfId="58" applyFont="1" applyBorder="1" applyAlignment="1">
      <alignment horizontal="center" vertical="center"/>
    </xf>
    <xf numFmtId="176" fontId="12" fillId="0" borderId="14" xfId="58" applyFont="1" applyBorder="1" applyAlignment="1">
      <alignment horizontal="center" vertical="center"/>
    </xf>
    <xf numFmtId="176" fontId="12" fillId="0" borderId="34" xfId="58" applyFont="1" applyBorder="1" applyAlignment="1">
      <alignment horizontal="center" vertical="center"/>
    </xf>
    <xf numFmtId="176" fontId="12" fillId="0" borderId="22" xfId="58" applyFont="1" applyBorder="1" applyAlignment="1">
      <alignment horizontal="center" vertical="center"/>
    </xf>
    <xf numFmtId="176" fontId="12" fillId="0" borderId="66" xfId="58" applyFont="1" applyBorder="1" applyAlignment="1">
      <alignment horizontal="center" vertical="center"/>
    </xf>
    <xf numFmtId="176" fontId="12" fillId="0" borderId="23" xfId="58" applyFont="1" applyBorder="1" applyAlignment="1">
      <alignment horizontal="center" vertical="center"/>
    </xf>
    <xf numFmtId="176" fontId="12" fillId="0" borderId="67" xfId="58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0" fontId="12" fillId="0" borderId="21" xfId="72" applyNumberFormat="1" applyFont="1" applyBorder="1" applyAlignment="1">
      <alignment horizontal="center" vertical="center" wrapText="1"/>
    </xf>
    <xf numFmtId="10" fontId="12" fillId="0" borderId="11" xfId="72" applyNumberFormat="1" applyFont="1" applyBorder="1" applyAlignment="1">
      <alignment horizontal="center" vertical="center" wrapText="1"/>
    </xf>
    <xf numFmtId="176" fontId="11" fillId="0" borderId="23" xfId="58" applyFont="1" applyFill="1" applyBorder="1" applyAlignment="1">
      <alignment horizontal="center" vertical="center"/>
    </xf>
    <xf numFmtId="176" fontId="11" fillId="0" borderId="14" xfId="58" applyFont="1" applyFill="1" applyBorder="1" applyAlignment="1">
      <alignment horizontal="center" vertical="center"/>
    </xf>
    <xf numFmtId="176" fontId="11" fillId="0" borderId="22" xfId="58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right" vertical="center"/>
    </xf>
    <xf numFmtId="0" fontId="12" fillId="8" borderId="31" xfId="0" applyFont="1" applyFill="1" applyBorder="1" applyAlignment="1">
      <alignment horizontal="right" vertical="center"/>
    </xf>
    <xf numFmtId="10" fontId="12" fillId="8" borderId="31" xfId="0" applyNumberFormat="1" applyFont="1" applyFill="1" applyBorder="1" applyAlignment="1">
      <alignment horizontal="center"/>
    </xf>
    <xf numFmtId="10" fontId="12" fillId="8" borderId="71" xfId="0" applyNumberFormat="1" applyFont="1" applyFill="1" applyBorder="1" applyAlignment="1">
      <alignment horizontal="center"/>
    </xf>
    <xf numFmtId="176" fontId="12" fillId="8" borderId="10" xfId="0" applyNumberFormat="1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10" fontId="12" fillId="8" borderId="10" xfId="72" applyNumberFormat="1" applyFont="1" applyFill="1" applyBorder="1" applyAlignment="1">
      <alignment horizontal="center" vertical="center"/>
    </xf>
    <xf numFmtId="10" fontId="12" fillId="8" borderId="36" xfId="72" applyNumberFormat="1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right" vertical="center"/>
    </xf>
    <xf numFmtId="0" fontId="12" fillId="8" borderId="10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8" borderId="72" xfId="0" applyFont="1" applyFill="1" applyBorder="1" applyAlignment="1">
      <alignment horizontal="center" vertical="center"/>
    </xf>
    <xf numFmtId="0" fontId="12" fillId="8" borderId="73" xfId="0" applyFont="1" applyFill="1" applyBorder="1" applyAlignment="1">
      <alignment horizontal="center" vertical="center"/>
    </xf>
    <xf numFmtId="0" fontId="12" fillId="8" borderId="74" xfId="0" applyFont="1" applyFill="1" applyBorder="1" applyAlignment="1">
      <alignment horizontal="center" vertical="center"/>
    </xf>
    <xf numFmtId="0" fontId="12" fillId="8" borderId="62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0" fillId="8" borderId="75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63" xfId="0" applyFont="1" applyFill="1" applyBorder="1" applyAlignment="1">
      <alignment horizontal="center" vertical="center" wrapText="1"/>
    </xf>
    <xf numFmtId="0" fontId="12" fillId="8" borderId="61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76" xfId="0" applyFont="1" applyFill="1" applyBorder="1" applyAlignment="1">
      <alignment horizontal="center" vertical="center" wrapText="1"/>
    </xf>
    <xf numFmtId="0" fontId="12" fillId="8" borderId="77" xfId="0" applyFont="1" applyFill="1" applyBorder="1" applyAlignment="1">
      <alignment horizontal="center" vertical="center" wrapText="1"/>
    </xf>
    <xf numFmtId="0" fontId="12" fillId="8" borderId="63" xfId="0" applyFont="1" applyFill="1" applyBorder="1" applyAlignment="1">
      <alignment horizontal="center" vertical="center" wrapText="1"/>
    </xf>
    <xf numFmtId="10" fontId="12" fillId="0" borderId="18" xfId="72" applyNumberFormat="1" applyFont="1" applyBorder="1" applyAlignment="1">
      <alignment horizontal="center" vertical="center" wrapText="1"/>
    </xf>
    <xf numFmtId="10" fontId="12" fillId="0" borderId="12" xfId="72" applyNumberFormat="1" applyFont="1" applyBorder="1" applyAlignment="1">
      <alignment horizontal="center" vertical="center" wrapText="1"/>
    </xf>
    <xf numFmtId="0" fontId="12" fillId="8" borderId="61" xfId="0" applyFont="1" applyFill="1" applyBorder="1" applyAlignment="1">
      <alignment horizontal="left" vertical="center"/>
    </xf>
    <xf numFmtId="0" fontId="12" fillId="8" borderId="25" xfId="0" applyFont="1" applyFill="1" applyBorder="1" applyAlignment="1">
      <alignment horizontal="left" vertical="center"/>
    </xf>
    <xf numFmtId="0" fontId="12" fillId="8" borderId="78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66" xfId="0" applyFont="1" applyFill="1" applyBorder="1" applyAlignment="1">
      <alignment horizontal="center" vertical="center"/>
    </xf>
    <xf numFmtId="0" fontId="12" fillId="8" borderId="79" xfId="0" applyFont="1" applyFill="1" applyBorder="1" applyAlignment="1">
      <alignment horizontal="left" vertical="center"/>
    </xf>
    <xf numFmtId="0" fontId="12" fillId="8" borderId="28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0" fontId="12" fillId="8" borderId="67" xfId="0" applyFont="1" applyFill="1" applyBorder="1" applyAlignment="1">
      <alignment horizontal="left" vertical="center"/>
    </xf>
    <xf numFmtId="0" fontId="12" fillId="0" borderId="8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68" fillId="0" borderId="81" xfId="61" applyFont="1" applyBorder="1">
      <alignment/>
      <protection/>
    </xf>
    <xf numFmtId="0" fontId="67" fillId="0" borderId="82" xfId="61" applyFont="1" applyBorder="1">
      <alignment/>
      <protection/>
    </xf>
    <xf numFmtId="0" fontId="67" fillId="0" borderId="83" xfId="61" applyFont="1" applyBorder="1">
      <alignment/>
      <protection/>
    </xf>
    <xf numFmtId="0" fontId="68" fillId="0" borderId="33" xfId="61" applyFont="1" applyBorder="1" applyAlignment="1">
      <alignment vertical="center" wrapText="1"/>
      <protection/>
    </xf>
    <xf numFmtId="0" fontId="68" fillId="0" borderId="0" xfId="61" applyFont="1" applyBorder="1" applyAlignment="1">
      <alignment vertical="center" wrapText="1"/>
      <protection/>
    </xf>
    <xf numFmtId="0" fontId="68" fillId="0" borderId="34" xfId="61" applyFont="1" applyBorder="1" applyAlignment="1">
      <alignment vertical="center" wrapText="1"/>
      <protection/>
    </xf>
    <xf numFmtId="0" fontId="65" fillId="0" borderId="33" xfId="61" applyFont="1" applyBorder="1">
      <alignment/>
      <protection/>
    </xf>
    <xf numFmtId="0" fontId="65" fillId="0" borderId="0" xfId="61" applyFont="1" applyBorder="1">
      <alignment/>
      <protection/>
    </xf>
    <xf numFmtId="0" fontId="65" fillId="0" borderId="0" xfId="61" applyFont="1" applyBorder="1" applyAlignment="1">
      <alignment horizontal="left" wrapText="1"/>
      <protection/>
    </xf>
    <xf numFmtId="0" fontId="65" fillId="0" borderId="34" xfId="61" applyFont="1" applyBorder="1" applyAlignment="1">
      <alignment horizontal="left" wrapText="1"/>
      <protection/>
    </xf>
    <xf numFmtId="0" fontId="67" fillId="0" borderId="84" xfId="61" applyFont="1" applyBorder="1" applyAlignment="1">
      <alignment wrapText="1"/>
      <protection/>
    </xf>
    <xf numFmtId="0" fontId="67" fillId="0" borderId="56" xfId="61" applyFont="1" applyBorder="1" applyAlignment="1">
      <alignment wrapText="1"/>
      <protection/>
    </xf>
    <xf numFmtId="0" fontId="67" fillId="0" borderId="47" xfId="61" applyFont="1" applyBorder="1" applyAlignment="1">
      <alignment wrapText="1"/>
      <protection/>
    </xf>
    <xf numFmtId="0" fontId="67" fillId="0" borderId="85" xfId="61" applyFont="1" applyBorder="1" applyAlignment="1">
      <alignment wrapText="1"/>
      <protection/>
    </xf>
    <xf numFmtId="0" fontId="71" fillId="0" borderId="86" xfId="61" applyFont="1" applyBorder="1">
      <alignment/>
      <protection/>
    </xf>
    <xf numFmtId="0" fontId="72" fillId="0" borderId="87" xfId="61" applyFont="1" applyBorder="1">
      <alignment/>
      <protection/>
    </xf>
    <xf numFmtId="0" fontId="72" fillId="0" borderId="88" xfId="61" applyFont="1" applyBorder="1">
      <alignment/>
      <protection/>
    </xf>
    <xf numFmtId="0" fontId="67" fillId="0" borderId="50" xfId="61" applyFont="1" applyBorder="1" applyAlignment="1">
      <alignment horizontal="right"/>
      <protection/>
    </xf>
    <xf numFmtId="0" fontId="67" fillId="0" borderId="51" xfId="61" applyFont="1" applyBorder="1" applyAlignment="1">
      <alignment horizontal="right"/>
      <protection/>
    </xf>
    <xf numFmtId="0" fontId="67" fillId="0" borderId="52" xfId="61" applyFont="1" applyBorder="1" applyAlignment="1">
      <alignment horizontal="right"/>
      <protection/>
    </xf>
    <xf numFmtId="0" fontId="67" fillId="0" borderId="84" xfId="61" applyFont="1" applyBorder="1" applyAlignment="1">
      <alignment horizontal="right"/>
      <protection/>
    </xf>
    <xf numFmtId="0" fontId="67" fillId="0" borderId="56" xfId="61" applyFont="1" applyBorder="1" applyAlignment="1">
      <alignment horizontal="right"/>
      <protection/>
    </xf>
    <xf numFmtId="0" fontId="67" fillId="0" borderId="85" xfId="61" applyFont="1" applyBorder="1" applyAlignment="1">
      <alignment horizontal="right"/>
      <protection/>
    </xf>
    <xf numFmtId="0" fontId="67" fillId="0" borderId="89" xfId="61" applyFont="1" applyBorder="1" applyAlignment="1">
      <alignment horizontal="right"/>
      <protection/>
    </xf>
    <xf numFmtId="0" fontId="67" fillId="0" borderId="90" xfId="61" applyFont="1" applyBorder="1" applyAlignment="1">
      <alignment horizontal="right"/>
      <protection/>
    </xf>
    <xf numFmtId="0" fontId="67" fillId="0" borderId="91" xfId="61" applyFont="1" applyBorder="1" applyAlignment="1">
      <alignment horizontal="right"/>
      <protection/>
    </xf>
    <xf numFmtId="0" fontId="71" fillId="0" borderId="87" xfId="61" applyFont="1" applyBorder="1">
      <alignment/>
      <protection/>
    </xf>
    <xf numFmtId="0" fontId="71" fillId="0" borderId="88" xfId="61" applyFont="1" applyBorder="1">
      <alignment/>
      <protection/>
    </xf>
    <xf numFmtId="0" fontId="68" fillId="0" borderId="92" xfId="61" applyFont="1" applyBorder="1" applyAlignment="1">
      <alignment vertical="center"/>
      <protection/>
    </xf>
    <xf numFmtId="0" fontId="68" fillId="0" borderId="93" xfId="61" applyFont="1" applyBorder="1" applyAlignment="1">
      <alignment vertical="center"/>
      <protection/>
    </xf>
    <xf numFmtId="0" fontId="68" fillId="0" borderId="94" xfId="61" applyFont="1" applyBorder="1" applyAlignment="1">
      <alignment vertical="center"/>
      <protection/>
    </xf>
    <xf numFmtId="0" fontId="68" fillId="0" borderId="92" xfId="61" applyFont="1" applyBorder="1" applyAlignment="1">
      <alignment horizontal="center" vertical="center"/>
      <protection/>
    </xf>
    <xf numFmtId="0" fontId="68" fillId="0" borderId="93" xfId="61" applyFont="1" applyBorder="1" applyAlignment="1">
      <alignment horizontal="center" vertical="center"/>
      <protection/>
    </xf>
    <xf numFmtId="0" fontId="68" fillId="0" borderId="94" xfId="61" applyFont="1" applyBorder="1" applyAlignment="1">
      <alignment horizontal="center" vertical="center"/>
      <protection/>
    </xf>
    <xf numFmtId="0" fontId="67" fillId="0" borderId="50" xfId="61" applyFont="1" applyBorder="1">
      <alignment/>
      <protection/>
    </xf>
    <xf numFmtId="0" fontId="67" fillId="0" borderId="51" xfId="61" applyFont="1" applyBorder="1">
      <alignment/>
      <protection/>
    </xf>
    <xf numFmtId="0" fontId="67" fillId="0" borderId="52" xfId="61" applyFont="1" applyBorder="1">
      <alignment/>
      <protection/>
    </xf>
    <xf numFmtId="0" fontId="67" fillId="0" borderId="84" xfId="61" applyFont="1" applyBorder="1">
      <alignment/>
      <protection/>
    </xf>
    <xf numFmtId="0" fontId="67" fillId="0" borderId="56" xfId="61" applyFont="1" applyBorder="1">
      <alignment/>
      <protection/>
    </xf>
    <xf numFmtId="0" fontId="67" fillId="0" borderId="85" xfId="61" applyFont="1" applyBorder="1">
      <alignment/>
      <protection/>
    </xf>
    <xf numFmtId="0" fontId="67" fillId="0" borderId="46" xfId="61" applyFont="1" applyBorder="1" applyAlignment="1">
      <alignment horizontal="center"/>
      <protection/>
    </xf>
    <xf numFmtId="0" fontId="67" fillId="0" borderId="56" xfId="61" applyFont="1" applyBorder="1" applyAlignment="1">
      <alignment horizontal="center"/>
      <protection/>
    </xf>
    <xf numFmtId="0" fontId="67" fillId="0" borderId="89" xfId="61" applyFont="1" applyBorder="1" applyAlignment="1">
      <alignment vertical="top" wrapText="1"/>
      <protection/>
    </xf>
    <xf numFmtId="0" fontId="67" fillId="0" borderId="95" xfId="61" applyFont="1" applyBorder="1" applyAlignment="1">
      <alignment vertical="top" wrapText="1"/>
      <protection/>
    </xf>
    <xf numFmtId="0" fontId="67" fillId="0" borderId="96" xfId="61" applyFont="1" applyBorder="1" applyAlignment="1">
      <alignment vertical="top" wrapText="1"/>
      <protection/>
    </xf>
    <xf numFmtId="0" fontId="67" fillId="0" borderId="97" xfId="61" applyFont="1" applyBorder="1" applyAlignment="1">
      <alignment vertical="top" wrapText="1"/>
      <protection/>
    </xf>
    <xf numFmtId="0" fontId="67" fillId="0" borderId="46" xfId="61" applyFont="1" applyBorder="1">
      <alignment/>
      <protection/>
    </xf>
    <xf numFmtId="0" fontId="67" fillId="0" borderId="47" xfId="61" applyFont="1" applyBorder="1">
      <alignment/>
      <protection/>
    </xf>
    <xf numFmtId="0" fontId="67" fillId="0" borderId="98" xfId="61" applyFont="1" applyBorder="1" applyAlignment="1">
      <alignment horizontal="center" vertical="center"/>
      <protection/>
    </xf>
    <xf numFmtId="0" fontId="67" fillId="0" borderId="90" xfId="61" applyFont="1" applyBorder="1" applyAlignment="1">
      <alignment horizontal="center" vertical="center"/>
      <protection/>
    </xf>
    <xf numFmtId="0" fontId="67" fillId="0" borderId="91" xfId="61" applyFont="1" applyBorder="1" applyAlignment="1">
      <alignment horizontal="center" vertical="center"/>
      <protection/>
    </xf>
    <xf numFmtId="0" fontId="67" fillId="0" borderId="99" xfId="61" applyFont="1" applyBorder="1" applyAlignment="1">
      <alignment horizontal="center" vertical="center"/>
      <protection/>
    </xf>
    <xf numFmtId="0" fontId="67" fillId="0" borderId="100" xfId="61" applyFont="1" applyBorder="1" applyAlignment="1">
      <alignment horizontal="center" vertical="center"/>
      <protection/>
    </xf>
    <xf numFmtId="0" fontId="67" fillId="0" borderId="101" xfId="61" applyFont="1" applyBorder="1" applyAlignment="1">
      <alignment horizontal="center" vertical="center"/>
      <protection/>
    </xf>
    <xf numFmtId="10" fontId="67" fillId="0" borderId="57" xfId="61" applyNumberFormat="1" applyFont="1" applyBorder="1" applyAlignment="1">
      <alignment horizontal="center"/>
      <protection/>
    </xf>
    <xf numFmtId="10" fontId="67" fillId="0" borderId="54" xfId="61" applyNumberFormat="1" applyFont="1" applyBorder="1" applyAlignment="1">
      <alignment horizontal="center"/>
      <protection/>
    </xf>
    <xf numFmtId="0" fontId="71" fillId="0" borderId="86" xfId="61" applyFont="1" applyBorder="1" applyAlignment="1">
      <alignment horizontal="right"/>
      <protection/>
    </xf>
    <xf numFmtId="0" fontId="71" fillId="0" borderId="87" xfId="61" applyFont="1" applyBorder="1" applyAlignment="1">
      <alignment horizontal="right"/>
      <protection/>
    </xf>
    <xf numFmtId="0" fontId="71" fillId="0" borderId="88" xfId="61" applyFont="1" applyBorder="1" applyAlignment="1">
      <alignment horizontal="right"/>
      <protection/>
    </xf>
    <xf numFmtId="0" fontId="67" fillId="0" borderId="84" xfId="61" applyFont="1" applyBorder="1" applyAlignment="1">
      <alignment horizontal="left"/>
      <protection/>
    </xf>
    <xf numFmtId="0" fontId="67" fillId="0" borderId="56" xfId="61" applyFont="1" applyBorder="1" applyAlignment="1">
      <alignment horizontal="left"/>
      <protection/>
    </xf>
    <xf numFmtId="0" fontId="67" fillId="0" borderId="47" xfId="61" applyFont="1" applyBorder="1" applyAlignment="1">
      <alignment horizontal="left"/>
      <protection/>
    </xf>
    <xf numFmtId="0" fontId="71" fillId="0" borderId="102" xfId="61" applyFont="1" applyBorder="1" applyAlignment="1">
      <alignment horizontal="right"/>
      <protection/>
    </xf>
    <xf numFmtId="0" fontId="68" fillId="0" borderId="92" xfId="61" applyFont="1" applyBorder="1" applyAlignment="1">
      <alignment horizontal="center"/>
      <protection/>
    </xf>
    <xf numFmtId="0" fontId="68" fillId="0" borderId="93" xfId="61" applyFont="1" applyBorder="1" applyAlignment="1">
      <alignment horizontal="center"/>
      <protection/>
    </xf>
    <xf numFmtId="0" fontId="68" fillId="0" borderId="94" xfId="61" applyFont="1" applyBorder="1" applyAlignment="1">
      <alignment horizontal="center"/>
      <protection/>
    </xf>
    <xf numFmtId="0" fontId="67" fillId="0" borderId="79" xfId="61" applyFont="1" applyBorder="1" applyAlignment="1">
      <alignment vertical="top" wrapText="1"/>
      <protection/>
    </xf>
    <xf numFmtId="0" fontId="67" fillId="0" borderId="28" xfId="61" applyFont="1" applyBorder="1" applyAlignment="1">
      <alignment vertical="top" wrapText="1"/>
      <protection/>
    </xf>
    <xf numFmtId="0" fontId="67" fillId="0" borderId="103" xfId="61" applyFont="1" applyBorder="1">
      <alignment/>
      <protection/>
    </xf>
    <xf numFmtId="0" fontId="67" fillId="0" borderId="85" xfId="61" applyFont="1" applyBorder="1" applyAlignment="1">
      <alignment horizontal="left"/>
      <protection/>
    </xf>
    <xf numFmtId="0" fontId="67" fillId="0" borderId="61" xfId="61" applyFont="1" applyBorder="1" applyAlignment="1">
      <alignment horizontal="center"/>
      <protection/>
    </xf>
    <xf numFmtId="0" fontId="67" fillId="0" borderId="25" xfId="61" applyFont="1" applyBorder="1" applyAlignment="1">
      <alignment horizontal="center"/>
      <protection/>
    </xf>
    <xf numFmtId="0" fontId="67" fillId="0" borderId="33" xfId="61" applyFont="1" applyBorder="1" applyAlignment="1">
      <alignment horizontal="center"/>
      <protection/>
    </xf>
    <xf numFmtId="0" fontId="67" fillId="0" borderId="0" xfId="61" applyFont="1" applyBorder="1" applyAlignment="1">
      <alignment horizontal="center"/>
      <protection/>
    </xf>
    <xf numFmtId="0" fontId="73" fillId="0" borderId="61" xfId="61" applyFont="1" applyBorder="1" applyAlignment="1">
      <alignment horizontal="center" vertical="center" wrapText="1"/>
      <protection/>
    </xf>
    <xf numFmtId="0" fontId="73" fillId="0" borderId="25" xfId="61" applyFont="1" applyBorder="1" applyAlignment="1">
      <alignment horizontal="center" vertical="center" wrapText="1"/>
      <protection/>
    </xf>
    <xf numFmtId="0" fontId="73" fillId="0" borderId="26" xfId="61" applyFont="1" applyBorder="1" applyAlignment="1">
      <alignment horizontal="center" vertical="center" wrapText="1"/>
      <protection/>
    </xf>
    <xf numFmtId="0" fontId="73" fillId="0" borderId="62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63" xfId="61" applyFont="1" applyBorder="1" applyAlignment="1">
      <alignment horizontal="center" vertical="center" wrapText="1"/>
      <protection/>
    </xf>
    <xf numFmtId="0" fontId="73" fillId="0" borderId="33" xfId="61" applyFont="1" applyBorder="1" applyAlignment="1">
      <alignment horizontal="center" vertical="center" wrapText="1"/>
      <protection/>
    </xf>
    <xf numFmtId="0" fontId="73" fillId="0" borderId="0" xfId="61" applyFont="1" applyBorder="1" applyAlignment="1">
      <alignment horizontal="center" vertical="center" wrapText="1"/>
      <protection/>
    </xf>
    <xf numFmtId="0" fontId="73" fillId="0" borderId="34" xfId="61" applyFont="1" applyBorder="1" applyAlignment="1">
      <alignment horizontal="center" vertical="center" wrapText="1"/>
      <protection/>
    </xf>
    <xf numFmtId="0" fontId="73" fillId="0" borderId="33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3" fillId="0" borderId="34" xfId="61" applyFont="1" applyBorder="1" applyAlignment="1">
      <alignment horizontal="center" vertical="center"/>
      <protection/>
    </xf>
    <xf numFmtId="0" fontId="73" fillId="0" borderId="62" xfId="61" applyFont="1" applyBorder="1" applyAlignment="1">
      <alignment horizontal="center"/>
      <protection/>
    </xf>
    <xf numFmtId="0" fontId="73" fillId="0" borderId="29" xfId="61" applyFont="1" applyBorder="1" applyAlignment="1">
      <alignment horizontal="center"/>
      <protection/>
    </xf>
    <xf numFmtId="0" fontId="73" fillId="0" borderId="63" xfId="61" applyFont="1" applyBorder="1" applyAlignment="1">
      <alignment horizontal="center"/>
      <protection/>
    </xf>
    <xf numFmtId="0" fontId="68" fillId="0" borderId="61" xfId="61" applyFont="1" applyBorder="1" applyAlignment="1">
      <alignment horizontal="center"/>
      <protection/>
    </xf>
    <xf numFmtId="0" fontId="67" fillId="0" borderId="17" xfId="61" applyFont="1" applyBorder="1" applyAlignment="1">
      <alignment horizontal="center"/>
      <protection/>
    </xf>
  </cellXfs>
  <cellStyles count="82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Currency" xfId="56"/>
    <cellStyle name="Currency [0]" xfId="57"/>
    <cellStyle name="Moeda 2" xfId="58"/>
    <cellStyle name="Neutro" xfId="59"/>
    <cellStyle name="Normal 2" xfId="60"/>
    <cellStyle name="Normal 3" xfId="61"/>
    <cellStyle name="Normal 4" xfId="62"/>
    <cellStyle name="Normal 6" xfId="63"/>
    <cellStyle name="Normal 7" xfId="64"/>
    <cellStyle name="Normal 9" xfId="65"/>
    <cellStyle name="Nota" xfId="66"/>
    <cellStyle name="Percent" xfId="67"/>
    <cellStyle name="Porcentagem 2" xfId="68"/>
    <cellStyle name="Porcentagem 3" xfId="69"/>
    <cellStyle name="Porcentagem 4" xfId="70"/>
    <cellStyle name="Porcentagem 4 2" xfId="71"/>
    <cellStyle name="Porcentagem 5" xfId="72"/>
    <cellStyle name="Result" xfId="73"/>
    <cellStyle name="Result2" xfId="74"/>
    <cellStyle name="Ruim" xfId="75"/>
    <cellStyle name="Saída" xfId="76"/>
    <cellStyle name="Comma [0]" xfId="77"/>
    <cellStyle name="Separador de milhares 2" xfId="78"/>
    <cellStyle name="Separador de milhares 4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  <cellStyle name="Comma" xfId="88"/>
    <cellStyle name="Vírgula 2" xfId="89"/>
    <cellStyle name="Vírgula 3" xfId="90"/>
    <cellStyle name="Vírgula 3 2" xfId="91"/>
    <cellStyle name="Vírgula 4" xfId="92"/>
    <cellStyle name="Vírgula 5" xfId="93"/>
    <cellStyle name="Vírgula 5 2" xfId="94"/>
    <cellStyle name="Vírgula 6" xfId="95"/>
  </cellStyles>
  <dxfs count="18">
    <dxf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4</xdr:row>
      <xdr:rowOff>123825</xdr:rowOff>
    </xdr:from>
    <xdr:to>
      <xdr:col>8</xdr:col>
      <xdr:colOff>657225</xdr:colOff>
      <xdr:row>6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86677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66675</xdr:rowOff>
    </xdr:from>
    <xdr:to>
      <xdr:col>9</xdr:col>
      <xdr:colOff>1009650</xdr:colOff>
      <xdr:row>6</xdr:row>
      <xdr:rowOff>200025</xdr:rowOff>
    </xdr:to>
    <xdr:pic>
      <xdr:nvPicPr>
        <xdr:cNvPr id="2" name="Imagem 3" descr="C:\Users\Gabinete\Downloads\brasao_ipixuna_do_par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5619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9525</xdr:rowOff>
    </xdr:from>
    <xdr:to>
      <xdr:col>12</xdr:col>
      <xdr:colOff>542925</xdr:colOff>
      <xdr:row>6</xdr:row>
      <xdr:rowOff>142875</xdr:rowOff>
    </xdr:to>
    <xdr:pic>
      <xdr:nvPicPr>
        <xdr:cNvPr id="1" name="Imagem 3" descr="C:\Users\Gabinete\Downloads\brasao_ipixuna_do_pa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14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1</xdr:row>
      <xdr:rowOff>0</xdr:rowOff>
    </xdr:from>
    <xdr:ext cx="200025" cy="523875"/>
    <xdr:sp>
      <xdr:nvSpPr>
        <xdr:cNvPr id="1" name="Retângulo 3"/>
        <xdr:cNvSpPr>
          <a:spLocks/>
        </xdr:cNvSpPr>
      </xdr:nvSpPr>
      <xdr:spPr>
        <a:xfrm>
          <a:off x="1000125" y="161925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390525</xdr:colOff>
      <xdr:row>1</xdr:row>
      <xdr:rowOff>66675</xdr:rowOff>
    </xdr:from>
    <xdr:ext cx="200025" cy="533400"/>
    <xdr:sp>
      <xdr:nvSpPr>
        <xdr:cNvPr id="2" name="Retângulo 3"/>
        <xdr:cNvSpPr>
          <a:spLocks/>
        </xdr:cNvSpPr>
      </xdr:nvSpPr>
      <xdr:spPr>
        <a:xfrm>
          <a:off x="1000125" y="2286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400050</xdr:colOff>
      <xdr:row>0</xdr:row>
      <xdr:rowOff>66675</xdr:rowOff>
    </xdr:from>
    <xdr:to>
      <xdr:col>2</xdr:col>
      <xdr:colOff>1000125</xdr:colOff>
      <xdr:row>6</xdr:row>
      <xdr:rowOff>66675</xdr:rowOff>
    </xdr:to>
    <xdr:pic>
      <xdr:nvPicPr>
        <xdr:cNvPr id="3" name="Imagem 2" descr="C:\Users\Gabinete\Downloads\brasao_ipixuna_do_pa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3"/>
  <sheetViews>
    <sheetView tabSelected="1" zoomScaleSheetLayoutView="115" zoomScalePageLayoutView="0" workbookViewId="0" topLeftCell="A1">
      <pane ySplit="10" topLeftCell="A308" activePane="bottomLeft" state="frozen"/>
      <selection pane="topLeft" activeCell="E254" sqref="E254"/>
      <selection pane="bottomLeft" activeCell="I217" sqref="I217:J223"/>
    </sheetView>
  </sheetViews>
  <sheetFormatPr defaultColWidth="9.140625" defaultRowHeight="12.75" outlineLevelRow="1"/>
  <cols>
    <col min="1" max="1" width="4.421875" style="6" customWidth="1"/>
    <col min="2" max="2" width="6.28125" style="7" customWidth="1"/>
    <col min="3" max="3" width="12.421875" style="7" customWidth="1"/>
    <col min="4" max="4" width="12.00390625" style="7" customWidth="1"/>
    <col min="5" max="5" width="71.28125" style="9" customWidth="1"/>
    <col min="6" max="6" width="6.7109375" style="7" customWidth="1"/>
    <col min="7" max="7" width="12.140625" style="80" customWidth="1"/>
    <col min="8" max="9" width="12.7109375" style="80" customWidth="1"/>
    <col min="10" max="10" width="16.7109375" style="61" customWidth="1"/>
    <col min="11" max="11" width="9.140625" style="6" customWidth="1"/>
    <col min="12" max="12" width="10.28125" style="6" bestFit="1" customWidth="1"/>
    <col min="13" max="16384" width="9.140625" style="6" customWidth="1"/>
  </cols>
  <sheetData>
    <row r="1" spans="1:10" ht="12.75">
      <c r="A1" s="243" t="s">
        <v>294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2.75">
      <c r="A2" s="246"/>
      <c r="B2" s="247"/>
      <c r="C2" s="247"/>
      <c r="D2" s="247"/>
      <c r="E2" s="247"/>
      <c r="F2" s="247"/>
      <c r="G2" s="247"/>
      <c r="H2" s="247"/>
      <c r="I2" s="247"/>
      <c r="J2" s="248"/>
    </row>
    <row r="3" spans="1:10" ht="13.5" thickBot="1">
      <c r="A3" s="249"/>
      <c r="B3" s="250"/>
      <c r="C3" s="250"/>
      <c r="D3" s="250"/>
      <c r="E3" s="250"/>
      <c r="F3" s="250"/>
      <c r="G3" s="250"/>
      <c r="H3" s="250"/>
      <c r="I3" s="250"/>
      <c r="J3" s="251"/>
    </row>
    <row r="4" spans="1:10" ht="19.5" customHeight="1">
      <c r="A4" s="109"/>
      <c r="B4" s="109" t="s">
        <v>224</v>
      </c>
      <c r="C4" s="109"/>
      <c r="D4" s="109"/>
      <c r="E4" s="109"/>
      <c r="F4" s="35"/>
      <c r="G4" s="60"/>
      <c r="H4" s="254"/>
      <c r="I4" s="254"/>
      <c r="J4" s="254"/>
    </row>
    <row r="5" spans="1:10" ht="19.5" customHeight="1">
      <c r="A5" s="167"/>
      <c r="B5" s="258" t="s">
        <v>225</v>
      </c>
      <c r="C5" s="258"/>
      <c r="D5" s="258"/>
      <c r="E5" s="258"/>
      <c r="F5" s="35"/>
      <c r="G5" s="166"/>
      <c r="H5" s="254"/>
      <c r="I5" s="254"/>
      <c r="J5" s="254"/>
    </row>
    <row r="6" spans="1:10" ht="19.5" customHeight="1">
      <c r="A6" s="109"/>
      <c r="B6" s="109" t="s">
        <v>226</v>
      </c>
      <c r="C6" s="109"/>
      <c r="D6" s="109"/>
      <c r="E6" s="109"/>
      <c r="F6" s="109"/>
      <c r="G6" s="109"/>
      <c r="H6" s="254"/>
      <c r="I6" s="254"/>
      <c r="J6" s="254"/>
    </row>
    <row r="7" spans="1:10" ht="19.5" customHeight="1" thickBot="1">
      <c r="A7" s="109"/>
      <c r="B7" s="109" t="s">
        <v>281</v>
      </c>
      <c r="C7" s="109"/>
      <c r="D7" s="109"/>
      <c r="E7" s="109"/>
      <c r="F7" s="36"/>
      <c r="G7" s="62"/>
      <c r="H7" s="101"/>
      <c r="I7" s="106"/>
      <c r="J7" s="37"/>
    </row>
    <row r="8" spans="1:12" ht="19.5" customHeight="1" thickBot="1">
      <c r="A8" s="168"/>
      <c r="B8" s="255" t="s">
        <v>280</v>
      </c>
      <c r="C8" s="256"/>
      <c r="D8" s="256"/>
      <c r="E8" s="256"/>
      <c r="F8" s="256"/>
      <c r="G8" s="256"/>
      <c r="H8" s="256"/>
      <c r="I8" s="257"/>
      <c r="J8" s="175">
        <f>J175</f>
        <v>223151.79</v>
      </c>
      <c r="L8" s="6">
        <v>1.246</v>
      </c>
    </row>
    <row r="9" spans="1:12" ht="15" customHeight="1" thickBot="1">
      <c r="A9" s="34"/>
      <c r="B9" s="177"/>
      <c r="C9" s="33"/>
      <c r="D9" s="33"/>
      <c r="E9" s="32"/>
      <c r="F9" s="34"/>
      <c r="G9" s="63"/>
      <c r="H9" s="102"/>
      <c r="I9" s="107"/>
      <c r="J9" s="178"/>
      <c r="L9" s="6">
        <v>0.75</v>
      </c>
    </row>
    <row r="10" spans="1:10" ht="19.5" customHeight="1" thickBot="1">
      <c r="A10" s="169"/>
      <c r="B10" s="115" t="s">
        <v>0</v>
      </c>
      <c r="C10" s="115" t="s">
        <v>72</v>
      </c>
      <c r="D10" s="115" t="s">
        <v>73</v>
      </c>
      <c r="E10" s="116" t="s">
        <v>31</v>
      </c>
      <c r="F10" s="115" t="s">
        <v>32</v>
      </c>
      <c r="G10" s="117" t="s">
        <v>33</v>
      </c>
      <c r="H10" s="118" t="s">
        <v>34</v>
      </c>
      <c r="I10" s="118" t="s">
        <v>34</v>
      </c>
      <c r="J10" s="119" t="s">
        <v>35</v>
      </c>
    </row>
    <row r="11" spans="2:10" ht="7.5" customHeight="1">
      <c r="B11" s="179"/>
      <c r="C11" s="122"/>
      <c r="D11" s="122"/>
      <c r="E11" s="180"/>
      <c r="F11" s="8"/>
      <c r="G11" s="181"/>
      <c r="H11" s="76"/>
      <c r="I11" s="76"/>
      <c r="J11" s="182"/>
    </row>
    <row r="12" spans="1:10" ht="19.5" customHeight="1">
      <c r="A12" s="176"/>
      <c r="B12" s="183">
        <v>1</v>
      </c>
      <c r="C12" s="110"/>
      <c r="D12" s="110"/>
      <c r="E12" s="111" t="s">
        <v>36</v>
      </c>
      <c r="F12" s="111"/>
      <c r="G12" s="112"/>
      <c r="H12" s="113"/>
      <c r="I12" s="114"/>
      <c r="J12" s="184">
        <f>J14</f>
        <v>3033.99</v>
      </c>
    </row>
    <row r="13" spans="1:10" ht="19.5" customHeight="1" outlineLevel="1">
      <c r="A13" s="82"/>
      <c r="B13" s="185" t="s">
        <v>7</v>
      </c>
      <c r="C13" s="5" t="s">
        <v>109</v>
      </c>
      <c r="D13" s="31" t="s">
        <v>47</v>
      </c>
      <c r="E13" s="64" t="s">
        <v>44</v>
      </c>
      <c r="F13" s="65" t="s">
        <v>5</v>
      </c>
      <c r="G13" s="66">
        <v>6</v>
      </c>
      <c r="H13" s="103">
        <v>405.83</v>
      </c>
      <c r="I13" s="67">
        <f>H13*$L$8</f>
        <v>505.66418</v>
      </c>
      <c r="J13" s="186">
        <f>ROUND(G13*I13,2)</f>
        <v>3033.99</v>
      </c>
    </row>
    <row r="14" spans="2:10" ht="19.5" customHeight="1" outlineLevel="1">
      <c r="B14" s="252" t="s">
        <v>252</v>
      </c>
      <c r="C14" s="253"/>
      <c r="D14" s="253"/>
      <c r="E14" s="253"/>
      <c r="F14" s="253"/>
      <c r="G14" s="253"/>
      <c r="H14" s="20"/>
      <c r="I14" s="20"/>
      <c r="J14" s="187">
        <f>SUM(J13:J13)</f>
        <v>3033.99</v>
      </c>
    </row>
    <row r="15" spans="2:10" ht="19.5" customHeight="1">
      <c r="B15" s="183">
        <v>2</v>
      </c>
      <c r="C15" s="110"/>
      <c r="D15" s="110"/>
      <c r="E15" s="111" t="s">
        <v>4</v>
      </c>
      <c r="F15" s="111"/>
      <c r="G15" s="112"/>
      <c r="H15" s="113"/>
      <c r="I15" s="114"/>
      <c r="J15" s="184">
        <f>J26</f>
        <v>5759.780000000001</v>
      </c>
    </row>
    <row r="16" spans="2:10" ht="19.5" customHeight="1" outlineLevel="1">
      <c r="B16" s="185"/>
      <c r="C16" s="3"/>
      <c r="D16" s="3"/>
      <c r="E16" s="93" t="s">
        <v>48</v>
      </c>
      <c r="F16" s="5"/>
      <c r="G16" s="74"/>
      <c r="H16" s="74"/>
      <c r="I16" s="74"/>
      <c r="J16" s="189"/>
    </row>
    <row r="17" spans="2:10" ht="19.5" customHeight="1" outlineLevel="1">
      <c r="B17" s="190" t="s">
        <v>8</v>
      </c>
      <c r="C17" s="24">
        <v>90304</v>
      </c>
      <c r="D17" s="24" t="s">
        <v>215</v>
      </c>
      <c r="E17" s="22" t="s">
        <v>198</v>
      </c>
      <c r="F17" s="5" t="s">
        <v>5</v>
      </c>
      <c r="G17" s="69">
        <f>1*2.1*2</f>
        <v>4.2</v>
      </c>
      <c r="H17" s="170">
        <f>L9*248.93</f>
        <v>186.6975</v>
      </c>
      <c r="I17" s="67">
        <f aca="true" t="shared" si="0" ref="I17:I25">H17*$L$8</f>
        <v>232.62508499999998</v>
      </c>
      <c r="J17" s="186">
        <f>ROUND(G17*I17,2)</f>
        <v>977.03</v>
      </c>
    </row>
    <row r="18" spans="2:10" ht="19.5" customHeight="1" outlineLevel="1">
      <c r="B18" s="190" t="s">
        <v>9</v>
      </c>
      <c r="C18" s="24">
        <v>90201</v>
      </c>
      <c r="D18" s="24" t="s">
        <v>215</v>
      </c>
      <c r="E18" s="22" t="s">
        <v>199</v>
      </c>
      <c r="F18" s="5" t="s">
        <v>5</v>
      </c>
      <c r="G18" s="69">
        <v>1.6</v>
      </c>
      <c r="H18" s="170">
        <f>L9*263.32</f>
        <v>197.49</v>
      </c>
      <c r="I18" s="67">
        <f t="shared" si="0"/>
        <v>246.07254</v>
      </c>
      <c r="J18" s="186">
        <f>ROUND(G18*I18,2)</f>
        <v>393.72</v>
      </c>
    </row>
    <row r="19" spans="2:10" ht="19.5" customHeight="1" outlineLevel="1">
      <c r="B19" s="190" t="s">
        <v>306</v>
      </c>
      <c r="C19" s="24">
        <v>90823</v>
      </c>
      <c r="D19" s="24" t="s">
        <v>47</v>
      </c>
      <c r="E19" s="22" t="s">
        <v>140</v>
      </c>
      <c r="F19" s="5" t="s">
        <v>2</v>
      </c>
      <c r="G19" s="69">
        <v>1</v>
      </c>
      <c r="H19" s="170">
        <f>L9*342.81</f>
        <v>257.1075</v>
      </c>
      <c r="I19" s="67">
        <f t="shared" si="0"/>
        <v>320.355945</v>
      </c>
      <c r="J19" s="186">
        <f>ROUND(G19*I19,2)</f>
        <v>320.36</v>
      </c>
    </row>
    <row r="20" spans="2:10" ht="30" customHeight="1" outlineLevel="1">
      <c r="B20" s="190" t="s">
        <v>307</v>
      </c>
      <c r="C20" s="24">
        <v>90820</v>
      </c>
      <c r="D20" s="24" t="s">
        <v>47</v>
      </c>
      <c r="E20" s="22" t="s">
        <v>200</v>
      </c>
      <c r="F20" s="5" t="s">
        <v>2</v>
      </c>
      <c r="G20" s="69">
        <v>2</v>
      </c>
      <c r="H20" s="170">
        <f>L9*260.76</f>
        <v>195.57</v>
      </c>
      <c r="I20" s="67">
        <f t="shared" si="0"/>
        <v>243.68022</v>
      </c>
      <c r="J20" s="186">
        <f>ROUND(G20*I20,2)</f>
        <v>487.36</v>
      </c>
    </row>
    <row r="21" spans="2:10" ht="30" customHeight="1" outlineLevel="1">
      <c r="B21" s="190" t="s">
        <v>308</v>
      </c>
      <c r="C21" s="24">
        <f>C19</f>
        <v>90823</v>
      </c>
      <c r="D21" s="24" t="s">
        <v>47</v>
      </c>
      <c r="E21" s="22" t="s">
        <v>201</v>
      </c>
      <c r="F21" s="5" t="s">
        <v>2</v>
      </c>
      <c r="G21" s="69">
        <v>4</v>
      </c>
      <c r="H21" s="170">
        <f>H19</f>
        <v>257.1075</v>
      </c>
      <c r="I21" s="67">
        <f t="shared" si="0"/>
        <v>320.355945</v>
      </c>
      <c r="J21" s="186">
        <f>ROUND(G21*I21,2)</f>
        <v>1281.42</v>
      </c>
    </row>
    <row r="22" spans="2:10" ht="19.5" customHeight="1" outlineLevel="1">
      <c r="B22" s="185"/>
      <c r="C22" s="24"/>
      <c r="D22" s="4"/>
      <c r="E22" s="25" t="s">
        <v>49</v>
      </c>
      <c r="F22" s="5"/>
      <c r="G22" s="69"/>
      <c r="H22" s="170"/>
      <c r="I22" s="67"/>
      <c r="J22" s="186"/>
    </row>
    <row r="23" spans="2:10" ht="19.5" customHeight="1" outlineLevel="1">
      <c r="B23" s="190" t="s">
        <v>309</v>
      </c>
      <c r="C23" s="24">
        <v>90830</v>
      </c>
      <c r="D23" s="4" t="s">
        <v>47</v>
      </c>
      <c r="E23" s="22" t="s">
        <v>51</v>
      </c>
      <c r="F23" s="5" t="s">
        <v>2</v>
      </c>
      <c r="G23" s="69">
        <v>3</v>
      </c>
      <c r="H23" s="170">
        <f>L9*115.31</f>
        <v>86.4825</v>
      </c>
      <c r="I23" s="67">
        <f t="shared" si="0"/>
        <v>107.757195</v>
      </c>
      <c r="J23" s="186">
        <f>ROUND(G23*I23,2)</f>
        <v>323.27</v>
      </c>
    </row>
    <row r="24" spans="2:10" ht="19.5" customHeight="1" outlineLevel="1">
      <c r="B24" s="190" t="s">
        <v>310</v>
      </c>
      <c r="C24" s="24">
        <v>90831</v>
      </c>
      <c r="D24" s="24" t="s">
        <v>47</v>
      </c>
      <c r="E24" s="22" t="s">
        <v>50</v>
      </c>
      <c r="F24" s="24" t="s">
        <v>2</v>
      </c>
      <c r="G24" s="69">
        <v>6</v>
      </c>
      <c r="H24" s="170">
        <f>L9*100.8</f>
        <v>75.6</v>
      </c>
      <c r="I24" s="67">
        <f t="shared" si="0"/>
        <v>94.1976</v>
      </c>
      <c r="J24" s="186">
        <f>ROUND(G24*I24,2)</f>
        <v>565.19</v>
      </c>
    </row>
    <row r="25" spans="2:10" ht="19.5" customHeight="1" outlineLevel="1">
      <c r="B25" s="190" t="s">
        <v>311</v>
      </c>
      <c r="C25" s="24" t="s">
        <v>110</v>
      </c>
      <c r="D25" s="24" t="s">
        <v>47</v>
      </c>
      <c r="E25" s="22" t="s">
        <v>133</v>
      </c>
      <c r="F25" s="24" t="s">
        <v>5</v>
      </c>
      <c r="G25" s="69">
        <v>3.24</v>
      </c>
      <c r="H25" s="170">
        <f>L9*466.16</f>
        <v>349.62</v>
      </c>
      <c r="I25" s="67">
        <f t="shared" si="0"/>
        <v>435.62652</v>
      </c>
      <c r="J25" s="186">
        <f>ROUND(G25*I25,2)</f>
        <v>1411.43</v>
      </c>
    </row>
    <row r="26" spans="2:10" ht="19.5" customHeight="1" outlineLevel="1">
      <c r="B26" s="252" t="s">
        <v>251</v>
      </c>
      <c r="C26" s="253"/>
      <c r="D26" s="253"/>
      <c r="E26" s="253"/>
      <c r="F26" s="259"/>
      <c r="G26" s="259"/>
      <c r="H26" s="53"/>
      <c r="I26" s="20"/>
      <c r="J26" s="187">
        <f>SUM(J17:J25)</f>
        <v>5759.780000000001</v>
      </c>
    </row>
    <row r="27" spans="2:10" ht="19.5" customHeight="1">
      <c r="B27" s="183">
        <v>3</v>
      </c>
      <c r="C27" s="110"/>
      <c r="D27" s="110"/>
      <c r="E27" s="111" t="s">
        <v>59</v>
      </c>
      <c r="F27" s="111"/>
      <c r="G27" s="112"/>
      <c r="H27" s="113"/>
      <c r="I27" s="114"/>
      <c r="J27" s="184">
        <f>J29</f>
        <v>8686.57</v>
      </c>
    </row>
    <row r="28" spans="2:12" ht="19.5" customHeight="1" outlineLevel="1">
      <c r="B28" s="190" t="s">
        <v>295</v>
      </c>
      <c r="C28" s="24">
        <v>71360</v>
      </c>
      <c r="D28" s="24" t="s">
        <v>215</v>
      </c>
      <c r="E28" s="22" t="s">
        <v>122</v>
      </c>
      <c r="F28" s="81" t="s">
        <v>77</v>
      </c>
      <c r="G28" s="99">
        <f>0.05*12255</f>
        <v>612.75</v>
      </c>
      <c r="H28" s="170">
        <f>L9*15.17</f>
        <v>11.3775</v>
      </c>
      <c r="I28" s="67">
        <f>H28*$L$8</f>
        <v>14.176364999999999</v>
      </c>
      <c r="J28" s="186">
        <f>ROUND(G28*I28,2)</f>
        <v>8686.57</v>
      </c>
      <c r="L28" s="99">
        <v>12255</v>
      </c>
    </row>
    <row r="29" spans="2:10" ht="19.5" customHeight="1" outlineLevel="1">
      <c r="B29" s="252" t="s">
        <v>250</v>
      </c>
      <c r="C29" s="253"/>
      <c r="D29" s="253"/>
      <c r="E29" s="253"/>
      <c r="F29" s="253"/>
      <c r="G29" s="253"/>
      <c r="H29" s="20"/>
      <c r="I29" s="20"/>
      <c r="J29" s="187">
        <f>SUM(J28:J28)</f>
        <v>8686.57</v>
      </c>
    </row>
    <row r="30" spans="2:10" ht="19.5" customHeight="1">
      <c r="B30" s="183">
        <v>4</v>
      </c>
      <c r="C30" s="110"/>
      <c r="D30" s="110"/>
      <c r="E30" s="111" t="s">
        <v>60</v>
      </c>
      <c r="F30" s="111"/>
      <c r="G30" s="112"/>
      <c r="H30" s="113"/>
      <c r="I30" s="114"/>
      <c r="J30" s="184">
        <f>J40</f>
        <v>6430.44</v>
      </c>
    </row>
    <row r="31" spans="2:10" s="16" customFormat="1" ht="30" customHeight="1" outlineLevel="1">
      <c r="B31" s="190" t="s">
        <v>10</v>
      </c>
      <c r="C31" s="14">
        <v>87529</v>
      </c>
      <c r="D31" s="56" t="s">
        <v>47</v>
      </c>
      <c r="E31" s="13" t="s">
        <v>46</v>
      </c>
      <c r="F31" s="15" t="s">
        <v>5</v>
      </c>
      <c r="G31" s="69">
        <f>0.25*445.04</f>
        <v>111.26</v>
      </c>
      <c r="H31" s="170">
        <f>L9*34.1</f>
        <v>25.575000000000003</v>
      </c>
      <c r="I31" s="67">
        <f>H31*$L$8</f>
        <v>31.866450000000004</v>
      </c>
      <c r="J31" s="186">
        <f>ROUND(G31*I31,2)</f>
        <v>3545.46</v>
      </c>
    </row>
    <row r="32" spans="2:10" s="16" customFormat="1" ht="18" customHeight="1" outlineLevel="1">
      <c r="B32" s="190"/>
      <c r="C32" s="14"/>
      <c r="D32" s="56"/>
      <c r="E32" s="38" t="s">
        <v>134</v>
      </c>
      <c r="F32" s="15"/>
      <c r="G32" s="69"/>
      <c r="H32" s="170"/>
      <c r="I32" s="67"/>
      <c r="J32" s="186"/>
    </row>
    <row r="33" spans="2:10" s="16" customFormat="1" ht="18" customHeight="1" outlineLevel="1">
      <c r="B33" s="190" t="s">
        <v>11</v>
      </c>
      <c r="C33" s="21">
        <v>87874</v>
      </c>
      <c r="D33" s="56" t="s">
        <v>47</v>
      </c>
      <c r="E33" s="94" t="s">
        <v>142</v>
      </c>
      <c r="F33" s="10" t="s">
        <v>5</v>
      </c>
      <c r="G33" s="69"/>
      <c r="H33" s="170">
        <f>L9*4</f>
        <v>3</v>
      </c>
      <c r="I33" s="67">
        <f>H33*$L$8</f>
        <v>3.738</v>
      </c>
      <c r="J33" s="186">
        <f>ROUND(G33*I33,2)</f>
        <v>0</v>
      </c>
    </row>
    <row r="34" spans="2:10" s="16" customFormat="1" ht="27.75" customHeight="1" outlineLevel="1">
      <c r="B34" s="190" t="s">
        <v>30</v>
      </c>
      <c r="C34" s="14">
        <v>87554</v>
      </c>
      <c r="D34" s="56" t="s">
        <v>47</v>
      </c>
      <c r="E34" s="13" t="s">
        <v>141</v>
      </c>
      <c r="F34" s="10" t="s">
        <v>5</v>
      </c>
      <c r="G34" s="69">
        <v>40</v>
      </c>
      <c r="H34" s="170">
        <f>L9*19.58</f>
        <v>14.684999999999999</v>
      </c>
      <c r="I34" s="67">
        <f>H34*$L$8</f>
        <v>18.29751</v>
      </c>
      <c r="J34" s="186">
        <f>ROUND(G34*I34,2)</f>
        <v>731.9</v>
      </c>
    </row>
    <row r="35" spans="2:10" s="16" customFormat="1" ht="18" customHeight="1" outlineLevel="1">
      <c r="B35" s="190"/>
      <c r="C35" s="14"/>
      <c r="D35" s="56"/>
      <c r="E35" s="38" t="s">
        <v>135</v>
      </c>
      <c r="F35" s="15"/>
      <c r="G35" s="69"/>
      <c r="H35" s="170"/>
      <c r="I35" s="67"/>
      <c r="J35" s="186"/>
    </row>
    <row r="36" spans="2:10" s="16" customFormat="1" ht="30" customHeight="1" outlineLevel="1">
      <c r="B36" s="190" t="s">
        <v>93</v>
      </c>
      <c r="C36" s="14">
        <v>87273</v>
      </c>
      <c r="D36" s="56" t="s">
        <v>47</v>
      </c>
      <c r="E36" s="13" t="s">
        <v>61</v>
      </c>
      <c r="F36" s="15" t="s">
        <v>5</v>
      </c>
      <c r="G36" s="69">
        <f>0.12*210.5</f>
        <v>25.259999999999998</v>
      </c>
      <c r="H36" s="170">
        <f>L9*52.77</f>
        <v>39.5775</v>
      </c>
      <c r="I36" s="67">
        <f>H36*$L$8</f>
        <v>49.313565000000004</v>
      </c>
      <c r="J36" s="186">
        <f>ROUND(G36*I36,2)</f>
        <v>1245.66</v>
      </c>
    </row>
    <row r="37" spans="2:10" s="16" customFormat="1" ht="30" customHeight="1" outlineLevel="1">
      <c r="B37" s="190" t="s">
        <v>112</v>
      </c>
      <c r="C37" s="14">
        <v>87265</v>
      </c>
      <c r="D37" s="56" t="s">
        <v>47</v>
      </c>
      <c r="E37" s="22" t="s">
        <v>136</v>
      </c>
      <c r="F37" s="15" t="s">
        <v>5</v>
      </c>
      <c r="G37" s="69">
        <f>0.25*29.58</f>
        <v>7.395</v>
      </c>
      <c r="H37" s="170">
        <f>L9*47.44</f>
        <v>35.58</v>
      </c>
      <c r="I37" s="67">
        <f>H37*$L$8</f>
        <v>44.332679999999996</v>
      </c>
      <c r="J37" s="186">
        <f>ROUND(G37*I37,2)</f>
        <v>327.84</v>
      </c>
    </row>
    <row r="38" spans="2:10" s="16" customFormat="1" ht="30" customHeight="1" outlineLevel="1">
      <c r="B38" s="190" t="s">
        <v>113</v>
      </c>
      <c r="C38" s="14">
        <v>87265</v>
      </c>
      <c r="D38" s="56" t="s">
        <v>47</v>
      </c>
      <c r="E38" s="22" t="s">
        <v>137</v>
      </c>
      <c r="F38" s="15" t="s">
        <v>5</v>
      </c>
      <c r="G38" s="69">
        <f>0.2*18.18</f>
        <v>3.636</v>
      </c>
      <c r="H38" s="170">
        <f>H37</f>
        <v>35.58</v>
      </c>
      <c r="I38" s="67">
        <f>H38*$L$8</f>
        <v>44.332679999999996</v>
      </c>
      <c r="J38" s="186">
        <f>ROUND(G38*I38,2)</f>
        <v>161.19</v>
      </c>
    </row>
    <row r="39" spans="2:10" s="16" customFormat="1" ht="30" customHeight="1" outlineLevel="1">
      <c r="B39" s="190" t="s">
        <v>114</v>
      </c>
      <c r="C39" s="14">
        <v>87265</v>
      </c>
      <c r="D39" s="56" t="s">
        <v>47</v>
      </c>
      <c r="E39" s="22" t="s">
        <v>138</v>
      </c>
      <c r="F39" s="15" t="s">
        <v>5</v>
      </c>
      <c r="G39" s="69">
        <f>0.25*37.75</f>
        <v>9.4375</v>
      </c>
      <c r="H39" s="170">
        <f>H37</f>
        <v>35.58</v>
      </c>
      <c r="I39" s="67">
        <f>H39*$L$8</f>
        <v>44.332679999999996</v>
      </c>
      <c r="J39" s="186">
        <f>ROUND(G39*I39,2)</f>
        <v>418.39</v>
      </c>
    </row>
    <row r="40" spans="2:10" ht="19.5" customHeight="1" outlineLevel="1">
      <c r="B40" s="252" t="s">
        <v>249</v>
      </c>
      <c r="C40" s="253"/>
      <c r="D40" s="253"/>
      <c r="E40" s="253"/>
      <c r="F40" s="253"/>
      <c r="G40" s="253"/>
      <c r="H40" s="20"/>
      <c r="I40" s="20"/>
      <c r="J40" s="187">
        <f>SUM(J31:J39)</f>
        <v>6430.44</v>
      </c>
    </row>
    <row r="41" spans="2:10" ht="19.5" customHeight="1">
      <c r="B41" s="183">
        <v>5</v>
      </c>
      <c r="C41" s="110"/>
      <c r="D41" s="110"/>
      <c r="E41" s="111" t="s">
        <v>62</v>
      </c>
      <c r="F41" s="111"/>
      <c r="G41" s="112"/>
      <c r="H41" s="113"/>
      <c r="I41" s="114"/>
      <c r="J41" s="184">
        <f>J52</f>
        <v>89571.56</v>
      </c>
    </row>
    <row r="42" spans="2:10" ht="30" customHeight="1" outlineLevel="1">
      <c r="B42" s="190" t="s">
        <v>12</v>
      </c>
      <c r="C42" s="23">
        <v>87250</v>
      </c>
      <c r="D42" s="56" t="s">
        <v>47</v>
      </c>
      <c r="E42" s="22" t="s">
        <v>115</v>
      </c>
      <c r="F42" s="5" t="s">
        <v>5</v>
      </c>
      <c r="G42" s="69">
        <f>0.5*64.91</f>
        <v>32.455</v>
      </c>
      <c r="H42" s="170">
        <f>L9*43.99</f>
        <v>32.9925</v>
      </c>
      <c r="I42" s="67">
        <f>H42*$L$8</f>
        <v>41.108655</v>
      </c>
      <c r="J42" s="186">
        <f>ROUND(G42*I42,2)</f>
        <v>1334.18</v>
      </c>
    </row>
    <row r="43" spans="2:10" ht="19.5" customHeight="1" outlineLevel="1">
      <c r="B43" s="190" t="s">
        <v>78</v>
      </c>
      <c r="C43" s="50">
        <v>98689</v>
      </c>
      <c r="D43" s="56" t="s">
        <v>47</v>
      </c>
      <c r="E43" s="22" t="s">
        <v>63</v>
      </c>
      <c r="F43" s="5" t="s">
        <v>1</v>
      </c>
      <c r="G43" s="68">
        <v>2.7</v>
      </c>
      <c r="H43" s="170">
        <v>51.16</v>
      </c>
      <c r="I43" s="67">
        <f>H43*$L$8</f>
        <v>63.74536</v>
      </c>
      <c r="J43" s="186">
        <f>ROUND(G43*I43,2)</f>
        <v>172.11</v>
      </c>
    </row>
    <row r="44" spans="2:13" ht="19.5" customHeight="1" outlineLevel="1">
      <c r="B44" s="190" t="s">
        <v>296</v>
      </c>
      <c r="C44" s="40">
        <v>130584</v>
      </c>
      <c r="D44" s="56" t="s">
        <v>215</v>
      </c>
      <c r="E44" s="22" t="s">
        <v>195</v>
      </c>
      <c r="F44" s="11" t="s">
        <v>5</v>
      </c>
      <c r="G44" s="68">
        <v>195.79</v>
      </c>
      <c r="H44" s="170">
        <f>L9*73.7</f>
        <v>55.275000000000006</v>
      </c>
      <c r="I44" s="67">
        <f>H44*$L$8</f>
        <v>68.87265000000001</v>
      </c>
      <c r="J44" s="186">
        <f>ROUND(G44*I44,2)</f>
        <v>13484.58</v>
      </c>
      <c r="M44" s="6">
        <f>26+26+38+38</f>
        <v>128</v>
      </c>
    </row>
    <row r="45" spans="2:10" ht="19.5" customHeight="1" outlineLevel="1">
      <c r="B45" s="188"/>
      <c r="C45" s="31"/>
      <c r="D45" s="24"/>
      <c r="E45" s="38" t="s">
        <v>131</v>
      </c>
      <c r="F45" s="31"/>
      <c r="G45" s="70"/>
      <c r="H45" s="170"/>
      <c r="I45" s="67"/>
      <c r="J45" s="186"/>
    </row>
    <row r="46" spans="2:12" ht="19.5" customHeight="1" outlineLevel="1">
      <c r="B46" s="188" t="s">
        <v>297</v>
      </c>
      <c r="C46" s="31">
        <v>92448</v>
      </c>
      <c r="D46" s="24" t="s">
        <v>47</v>
      </c>
      <c r="E46" s="28" t="s">
        <v>130</v>
      </c>
      <c r="F46" s="31" t="s">
        <v>5</v>
      </c>
      <c r="G46" s="70"/>
      <c r="H46" s="170">
        <f>L9*117.39</f>
        <v>88.0425</v>
      </c>
      <c r="I46" s="67">
        <f aca="true" t="shared" si="1" ref="I46:I51">H46*$L$8</f>
        <v>109.70095500000001</v>
      </c>
      <c r="J46" s="186">
        <f aca="true" t="shared" si="2" ref="J46:J51">ROUND(G46*I46,2)</f>
        <v>0</v>
      </c>
      <c r="L46" s="6">
        <v>10.8</v>
      </c>
    </row>
    <row r="47" spans="2:10" ht="19.5" customHeight="1" outlineLevel="1">
      <c r="B47" s="188" t="s">
        <v>197</v>
      </c>
      <c r="C47" s="31">
        <v>95240</v>
      </c>
      <c r="D47" s="24" t="s">
        <v>47</v>
      </c>
      <c r="E47" s="39" t="s">
        <v>286</v>
      </c>
      <c r="F47" s="31" t="s">
        <v>5</v>
      </c>
      <c r="G47" s="70">
        <f>G48</f>
        <v>676.67</v>
      </c>
      <c r="H47" s="170">
        <f>L9*15.1</f>
        <v>11.325</v>
      </c>
      <c r="I47" s="67">
        <f t="shared" si="1"/>
        <v>14.110949999999999</v>
      </c>
      <c r="J47" s="186">
        <f t="shared" si="2"/>
        <v>9548.46</v>
      </c>
    </row>
    <row r="48" spans="2:10" ht="19.5" customHeight="1" outlineLevel="1">
      <c r="B48" s="188" t="s">
        <v>298</v>
      </c>
      <c r="C48" s="31">
        <v>97087</v>
      </c>
      <c r="D48" s="24" t="s">
        <v>47</v>
      </c>
      <c r="E48" s="39" t="s">
        <v>196</v>
      </c>
      <c r="F48" s="31" t="s">
        <v>5</v>
      </c>
      <c r="G48" s="70">
        <v>676.67</v>
      </c>
      <c r="H48" s="170">
        <f>L9*1.76</f>
        <v>1.32</v>
      </c>
      <c r="I48" s="67">
        <f t="shared" si="1"/>
        <v>1.6447200000000002</v>
      </c>
      <c r="J48" s="186">
        <f t="shared" si="2"/>
        <v>1112.93</v>
      </c>
    </row>
    <row r="49" spans="2:10" ht="19.5" customHeight="1" outlineLevel="1">
      <c r="B49" s="188" t="s">
        <v>299</v>
      </c>
      <c r="C49" s="31">
        <v>85662</v>
      </c>
      <c r="D49" s="24" t="s">
        <v>47</v>
      </c>
      <c r="E49" s="22" t="s">
        <v>132</v>
      </c>
      <c r="F49" s="31" t="s">
        <v>77</v>
      </c>
      <c r="G49" s="70">
        <v>1001.47</v>
      </c>
      <c r="H49" s="170">
        <f>L9*9.85</f>
        <v>7.387499999999999</v>
      </c>
      <c r="I49" s="67">
        <f t="shared" si="1"/>
        <v>9.204825</v>
      </c>
      <c r="J49" s="186">
        <f t="shared" si="2"/>
        <v>9218.36</v>
      </c>
    </row>
    <row r="50" spans="2:10" ht="33" customHeight="1" outlineLevel="1">
      <c r="B50" s="188" t="s">
        <v>312</v>
      </c>
      <c r="C50" s="31">
        <v>92720</v>
      </c>
      <c r="D50" s="24" t="s">
        <v>47</v>
      </c>
      <c r="E50" s="22" t="s">
        <v>214</v>
      </c>
      <c r="F50" s="31" t="s">
        <v>42</v>
      </c>
      <c r="G50" s="192">
        <f>G48*0.1</f>
        <v>67.667</v>
      </c>
      <c r="H50" s="171">
        <f>518.76*L9</f>
        <v>389.07</v>
      </c>
      <c r="I50" s="67">
        <f t="shared" si="1"/>
        <v>484.78121999999996</v>
      </c>
      <c r="J50" s="186">
        <f t="shared" si="2"/>
        <v>32803.69</v>
      </c>
    </row>
    <row r="51" spans="2:10" ht="16.5" customHeight="1" outlineLevel="1">
      <c r="B51" s="188"/>
      <c r="C51" s="81">
        <v>101752</v>
      </c>
      <c r="D51" s="24" t="s">
        <v>47</v>
      </c>
      <c r="E51" s="22" t="s">
        <v>285</v>
      </c>
      <c r="F51" s="31" t="s">
        <v>5</v>
      </c>
      <c r="G51" s="70">
        <v>484</v>
      </c>
      <c r="H51" s="171">
        <v>36.31</v>
      </c>
      <c r="I51" s="67">
        <f t="shared" si="1"/>
        <v>45.24226</v>
      </c>
      <c r="J51" s="186">
        <f t="shared" si="2"/>
        <v>21897.25</v>
      </c>
    </row>
    <row r="52" spans="2:10" ht="19.5" customHeight="1" outlineLevel="1">
      <c r="B52" s="252" t="s">
        <v>248</v>
      </c>
      <c r="C52" s="253"/>
      <c r="D52" s="253"/>
      <c r="E52" s="253"/>
      <c r="F52" s="253"/>
      <c r="G52" s="253"/>
      <c r="H52" s="20"/>
      <c r="I52" s="20"/>
      <c r="J52" s="187">
        <f>SUM(J42:J51)</f>
        <v>89571.56</v>
      </c>
    </row>
    <row r="53" spans="2:10" ht="19.5" customHeight="1">
      <c r="B53" s="183">
        <v>6</v>
      </c>
      <c r="C53" s="110"/>
      <c r="D53" s="110"/>
      <c r="E53" s="111" t="s">
        <v>6</v>
      </c>
      <c r="F53" s="111"/>
      <c r="G53" s="112"/>
      <c r="H53" s="113"/>
      <c r="I53" s="114"/>
      <c r="J53" s="184">
        <f>J61</f>
        <v>35099.33</v>
      </c>
    </row>
    <row r="54" spans="2:10" ht="19.5" customHeight="1" outlineLevel="1">
      <c r="B54" s="191" t="s">
        <v>13</v>
      </c>
      <c r="C54" s="24">
        <v>150129</v>
      </c>
      <c r="D54" s="56" t="s">
        <v>215</v>
      </c>
      <c r="E54" s="22" t="s">
        <v>66</v>
      </c>
      <c r="F54" s="15" t="s">
        <v>5</v>
      </c>
      <c r="G54" s="57">
        <v>445.04</v>
      </c>
      <c r="H54" s="170">
        <f>L9*9.83</f>
        <v>7.3725000000000005</v>
      </c>
      <c r="I54" s="67">
        <f aca="true" t="shared" si="3" ref="I54:I60">H54*$L$8</f>
        <v>9.186135</v>
      </c>
      <c r="J54" s="186">
        <f aca="true" t="shared" si="4" ref="J54:J60">ROUND(G54*I54,2)</f>
        <v>4088.2</v>
      </c>
    </row>
    <row r="55" spans="2:10" ht="19.5" customHeight="1" outlineLevel="1">
      <c r="B55" s="191" t="s">
        <v>14</v>
      </c>
      <c r="C55" s="24">
        <v>150129</v>
      </c>
      <c r="D55" s="56" t="s">
        <v>215</v>
      </c>
      <c r="E55" s="22" t="s">
        <v>64</v>
      </c>
      <c r="F55" s="15" t="s">
        <v>5</v>
      </c>
      <c r="G55" s="58">
        <v>84.33</v>
      </c>
      <c r="H55" s="170">
        <f>H54</f>
        <v>7.3725000000000005</v>
      </c>
      <c r="I55" s="67">
        <f t="shared" si="3"/>
        <v>9.186135</v>
      </c>
      <c r="J55" s="186">
        <f t="shared" si="4"/>
        <v>774.67</v>
      </c>
    </row>
    <row r="56" spans="2:10" s="16" customFormat="1" ht="19.5" customHeight="1" outlineLevel="1">
      <c r="B56" s="191" t="s">
        <v>15</v>
      </c>
      <c r="C56" s="24">
        <v>88489</v>
      </c>
      <c r="D56" s="56" t="s">
        <v>47</v>
      </c>
      <c r="E56" s="22" t="s">
        <v>129</v>
      </c>
      <c r="F56" s="15" t="s">
        <v>5</v>
      </c>
      <c r="G56" s="69">
        <v>445.04</v>
      </c>
      <c r="H56" s="170">
        <f>L9*13.12</f>
        <v>9.84</v>
      </c>
      <c r="I56" s="67">
        <f t="shared" si="3"/>
        <v>12.26064</v>
      </c>
      <c r="J56" s="186">
        <f t="shared" si="4"/>
        <v>5456.48</v>
      </c>
    </row>
    <row r="57" spans="2:10" ht="19.5" customHeight="1" outlineLevel="1">
      <c r="B57" s="191" t="s">
        <v>16</v>
      </c>
      <c r="C57" s="24">
        <v>88487</v>
      </c>
      <c r="D57" s="56" t="s">
        <v>47</v>
      </c>
      <c r="E57" s="22" t="s">
        <v>65</v>
      </c>
      <c r="F57" s="5" t="s">
        <v>5</v>
      </c>
      <c r="G57" s="69">
        <v>84.33</v>
      </c>
      <c r="H57" s="170">
        <f>L9*10.54</f>
        <v>7.904999999999999</v>
      </c>
      <c r="I57" s="67">
        <f t="shared" si="3"/>
        <v>9.84963</v>
      </c>
      <c r="J57" s="186">
        <f t="shared" si="4"/>
        <v>830.62</v>
      </c>
    </row>
    <row r="58" spans="2:11" ht="19.5" customHeight="1" outlineLevel="1">
      <c r="B58" s="191" t="s">
        <v>17</v>
      </c>
      <c r="C58" s="24">
        <v>79467</v>
      </c>
      <c r="D58" s="56" t="s">
        <v>47</v>
      </c>
      <c r="E58" s="22" t="s">
        <v>123</v>
      </c>
      <c r="F58" s="5" t="s">
        <v>5</v>
      </c>
      <c r="G58" s="69">
        <v>483.4</v>
      </c>
      <c r="H58" s="170">
        <f>L9*11.87</f>
        <v>8.9025</v>
      </c>
      <c r="I58" s="67">
        <f t="shared" si="3"/>
        <v>11.092515</v>
      </c>
      <c r="J58" s="186">
        <f t="shared" si="4"/>
        <v>5362.12</v>
      </c>
      <c r="K58" s="95"/>
    </row>
    <row r="59" spans="2:11" ht="19.5" customHeight="1" outlineLevel="1">
      <c r="B59" s="191" t="s">
        <v>18</v>
      </c>
      <c r="C59" s="24">
        <v>100725</v>
      </c>
      <c r="D59" s="56" t="s">
        <v>47</v>
      </c>
      <c r="E59" s="22" t="s">
        <v>211</v>
      </c>
      <c r="F59" s="5" t="s">
        <v>5</v>
      </c>
      <c r="G59" s="69">
        <v>558.25</v>
      </c>
      <c r="H59" s="170">
        <f>L9*16.91</f>
        <v>12.682500000000001</v>
      </c>
      <c r="I59" s="67">
        <f t="shared" si="3"/>
        <v>15.802395</v>
      </c>
      <c r="J59" s="186">
        <f t="shared" si="4"/>
        <v>8821.69</v>
      </c>
      <c r="K59" s="95"/>
    </row>
    <row r="60" spans="2:11" ht="19.5" customHeight="1" outlineLevel="1">
      <c r="B60" s="191" t="s">
        <v>19</v>
      </c>
      <c r="C60" s="24">
        <v>100751</v>
      </c>
      <c r="D60" s="56" t="s">
        <v>47</v>
      </c>
      <c r="E60" s="22" t="s">
        <v>212</v>
      </c>
      <c r="F60" s="5" t="s">
        <v>5</v>
      </c>
      <c r="G60" s="69">
        <v>404.1</v>
      </c>
      <c r="H60" s="170">
        <f>L9*25.86</f>
        <v>19.395</v>
      </c>
      <c r="I60" s="67">
        <f t="shared" si="3"/>
        <v>24.16617</v>
      </c>
      <c r="J60" s="186">
        <f t="shared" si="4"/>
        <v>9765.55</v>
      </c>
      <c r="K60" s="95"/>
    </row>
    <row r="61" spans="2:10" ht="19.5" customHeight="1" outlineLevel="1">
      <c r="B61" s="252" t="s">
        <v>375</v>
      </c>
      <c r="C61" s="253"/>
      <c r="D61" s="253"/>
      <c r="E61" s="253"/>
      <c r="F61" s="253"/>
      <c r="G61" s="253"/>
      <c r="H61" s="20"/>
      <c r="I61" s="20"/>
      <c r="J61" s="187">
        <f>SUM(J54:J60)</f>
        <v>35099.33</v>
      </c>
    </row>
    <row r="62" spans="2:10" ht="19.5" customHeight="1">
      <c r="B62" s="183">
        <v>7</v>
      </c>
      <c r="C62" s="110"/>
      <c r="D62" s="110"/>
      <c r="E62" s="111" t="s">
        <v>70</v>
      </c>
      <c r="F62" s="111"/>
      <c r="G62" s="112"/>
      <c r="H62" s="113"/>
      <c r="I62" s="114"/>
      <c r="J62" s="184">
        <f>J77</f>
        <v>1731.5</v>
      </c>
    </row>
    <row r="63" spans="2:10" ht="19.5" customHeight="1" outlineLevel="1">
      <c r="B63" s="190" t="s">
        <v>20</v>
      </c>
      <c r="C63" s="56">
        <v>89352</v>
      </c>
      <c r="D63" s="56" t="s">
        <v>47</v>
      </c>
      <c r="E63" s="42" t="s">
        <v>124</v>
      </c>
      <c r="F63" s="56" t="s">
        <v>2</v>
      </c>
      <c r="G63" s="75">
        <v>1</v>
      </c>
      <c r="H63" s="170">
        <v>30.99</v>
      </c>
      <c r="I63" s="67">
        <f aca="true" t="shared" si="5" ref="I63:I76">H63*$L$8</f>
        <v>38.61354</v>
      </c>
      <c r="J63" s="186">
        <f aca="true" t="shared" si="6" ref="J63:J76">ROUND(G63*I63,2)</f>
        <v>38.61</v>
      </c>
    </row>
    <row r="64" spans="2:10" s="16" customFormat="1" ht="19.5" customHeight="1" outlineLevel="1">
      <c r="B64" s="190" t="s">
        <v>253</v>
      </c>
      <c r="C64" s="31">
        <v>180802</v>
      </c>
      <c r="D64" s="31" t="s">
        <v>215</v>
      </c>
      <c r="E64" s="42" t="s">
        <v>170</v>
      </c>
      <c r="F64" s="56" t="s">
        <v>2</v>
      </c>
      <c r="G64" s="75">
        <v>2</v>
      </c>
      <c r="H64" s="170">
        <v>83.14</v>
      </c>
      <c r="I64" s="67">
        <f t="shared" si="5"/>
        <v>103.59244</v>
      </c>
      <c r="J64" s="186">
        <f t="shared" si="6"/>
        <v>207.18</v>
      </c>
    </row>
    <row r="65" spans="2:10" s="16" customFormat="1" ht="19.5" customHeight="1" outlineLevel="1">
      <c r="B65" s="190" t="s">
        <v>254</v>
      </c>
      <c r="C65" s="31">
        <v>180442</v>
      </c>
      <c r="D65" s="31" t="s">
        <v>215</v>
      </c>
      <c r="E65" s="42" t="s">
        <v>171</v>
      </c>
      <c r="F65" s="56" t="s">
        <v>2</v>
      </c>
      <c r="G65" s="75">
        <v>2</v>
      </c>
      <c r="H65" s="170">
        <f>L9*123.81</f>
        <v>92.8575</v>
      </c>
      <c r="I65" s="67">
        <f t="shared" si="5"/>
        <v>115.700445</v>
      </c>
      <c r="J65" s="186">
        <f t="shared" si="6"/>
        <v>231.4</v>
      </c>
    </row>
    <row r="66" spans="2:10" s="16" customFormat="1" ht="19.5" customHeight="1" outlineLevel="1">
      <c r="B66" s="190" t="s">
        <v>255</v>
      </c>
      <c r="C66" s="24">
        <v>180443</v>
      </c>
      <c r="D66" s="31" t="s">
        <v>215</v>
      </c>
      <c r="E66" s="42" t="s">
        <v>172</v>
      </c>
      <c r="F66" s="56" t="s">
        <v>2</v>
      </c>
      <c r="G66" s="75">
        <v>2</v>
      </c>
      <c r="H66" s="170">
        <f>L9*159.83</f>
        <v>119.8725</v>
      </c>
      <c r="I66" s="67">
        <f t="shared" si="5"/>
        <v>149.361135</v>
      </c>
      <c r="J66" s="186">
        <f t="shared" si="6"/>
        <v>298.72</v>
      </c>
    </row>
    <row r="67" spans="2:10" s="16" customFormat="1" ht="19.5" customHeight="1" outlineLevel="1">
      <c r="B67" s="190" t="s">
        <v>256</v>
      </c>
      <c r="C67" s="24">
        <v>180444</v>
      </c>
      <c r="D67" s="31" t="s">
        <v>215</v>
      </c>
      <c r="E67" s="42" t="s">
        <v>173</v>
      </c>
      <c r="F67" s="56" t="s">
        <v>2</v>
      </c>
      <c r="G67" s="75">
        <v>2</v>
      </c>
      <c r="H67" s="170">
        <f>L9*83.71</f>
        <v>62.7825</v>
      </c>
      <c r="I67" s="67">
        <f t="shared" si="5"/>
        <v>78.226995</v>
      </c>
      <c r="J67" s="186">
        <f t="shared" si="6"/>
        <v>156.45</v>
      </c>
    </row>
    <row r="68" spans="2:10" s="16" customFormat="1" ht="19.5" customHeight="1" outlineLevel="1">
      <c r="B68" s="190" t="s">
        <v>121</v>
      </c>
      <c r="C68" s="31">
        <v>180441</v>
      </c>
      <c r="D68" s="31" t="s">
        <v>215</v>
      </c>
      <c r="E68" s="42" t="s">
        <v>174</v>
      </c>
      <c r="F68" s="56" t="s">
        <v>2</v>
      </c>
      <c r="G68" s="75">
        <v>2</v>
      </c>
      <c r="H68" s="170">
        <f>L9*67.57</f>
        <v>50.677499999999995</v>
      </c>
      <c r="I68" s="67">
        <f t="shared" si="5"/>
        <v>63.144164999999994</v>
      </c>
      <c r="J68" s="186">
        <f t="shared" si="6"/>
        <v>126.29</v>
      </c>
    </row>
    <row r="69" spans="2:10" s="16" customFormat="1" ht="19.5" customHeight="1" outlineLevel="1">
      <c r="B69" s="190" t="s">
        <v>257</v>
      </c>
      <c r="C69" s="24">
        <v>180446</v>
      </c>
      <c r="D69" s="31" t="s">
        <v>215</v>
      </c>
      <c r="E69" s="42" t="s">
        <v>118</v>
      </c>
      <c r="F69" s="56" t="s">
        <v>2</v>
      </c>
      <c r="G69" s="75">
        <v>8</v>
      </c>
      <c r="H69" s="170">
        <f>L9*66.03</f>
        <v>49.5225</v>
      </c>
      <c r="I69" s="67">
        <f t="shared" si="5"/>
        <v>61.705035</v>
      </c>
      <c r="J69" s="186">
        <f t="shared" si="6"/>
        <v>493.64</v>
      </c>
    </row>
    <row r="70" spans="2:10" s="16" customFormat="1" ht="19.5" customHeight="1" outlineLevel="1">
      <c r="B70" s="190" t="s">
        <v>282</v>
      </c>
      <c r="C70" s="31">
        <v>6141</v>
      </c>
      <c r="D70" s="31" t="s">
        <v>216</v>
      </c>
      <c r="E70" s="42" t="s">
        <v>175</v>
      </c>
      <c r="F70" s="56" t="s">
        <v>2</v>
      </c>
      <c r="G70" s="75">
        <v>10</v>
      </c>
      <c r="H70" s="170">
        <f>L9*3.42</f>
        <v>2.565</v>
      </c>
      <c r="I70" s="67">
        <f t="shared" si="5"/>
        <v>3.19599</v>
      </c>
      <c r="J70" s="186">
        <f t="shared" si="6"/>
        <v>31.96</v>
      </c>
    </row>
    <row r="71" spans="2:10" s="16" customFormat="1" ht="19.5" customHeight="1" outlineLevel="1">
      <c r="B71" s="190" t="s">
        <v>283</v>
      </c>
      <c r="C71" s="56">
        <v>7136</v>
      </c>
      <c r="D71" s="31" t="s">
        <v>216</v>
      </c>
      <c r="E71" s="39" t="s">
        <v>176</v>
      </c>
      <c r="F71" s="56" t="s">
        <v>2</v>
      </c>
      <c r="G71" s="75">
        <v>4</v>
      </c>
      <c r="H71" s="170">
        <f>L9*4.13</f>
        <v>3.0975</v>
      </c>
      <c r="I71" s="67">
        <f t="shared" si="5"/>
        <v>3.8594850000000003</v>
      </c>
      <c r="J71" s="186">
        <f t="shared" si="6"/>
        <v>15.44</v>
      </c>
    </row>
    <row r="72" spans="2:10" s="16" customFormat="1" ht="19.5" customHeight="1" outlineLevel="1">
      <c r="B72" s="190" t="s">
        <v>284</v>
      </c>
      <c r="C72" s="56">
        <v>7131</v>
      </c>
      <c r="D72" s="31" t="s">
        <v>216</v>
      </c>
      <c r="E72" s="39" t="s">
        <v>177</v>
      </c>
      <c r="F72" s="56" t="s">
        <v>2</v>
      </c>
      <c r="G72" s="75">
        <v>2</v>
      </c>
      <c r="H72" s="170">
        <f>L9*12.03</f>
        <v>9.022499999999999</v>
      </c>
      <c r="I72" s="67">
        <f t="shared" si="5"/>
        <v>11.242035</v>
      </c>
      <c r="J72" s="186">
        <f t="shared" si="6"/>
        <v>22.48</v>
      </c>
    </row>
    <row r="73" spans="2:10" s="16" customFormat="1" ht="19.5" customHeight="1" outlineLevel="1">
      <c r="B73" s="190" t="s">
        <v>313</v>
      </c>
      <c r="C73" s="56">
        <v>9905</v>
      </c>
      <c r="D73" s="31" t="s">
        <v>216</v>
      </c>
      <c r="E73" s="39" t="s">
        <v>178</v>
      </c>
      <c r="F73" s="56" t="s">
        <v>2</v>
      </c>
      <c r="G73" s="75">
        <v>6</v>
      </c>
      <c r="H73" s="170">
        <f>L9*5</f>
        <v>3.75</v>
      </c>
      <c r="I73" s="67">
        <f t="shared" si="5"/>
        <v>4.6725</v>
      </c>
      <c r="J73" s="186">
        <f t="shared" si="6"/>
        <v>28.04</v>
      </c>
    </row>
    <row r="74" spans="2:10" s="16" customFormat="1" ht="19.5" customHeight="1" outlineLevel="1">
      <c r="B74" s="190" t="s">
        <v>314</v>
      </c>
      <c r="C74" s="56">
        <v>9897</v>
      </c>
      <c r="D74" s="31" t="s">
        <v>216</v>
      </c>
      <c r="E74" s="39" t="s">
        <v>179</v>
      </c>
      <c r="F74" s="56" t="s">
        <v>2</v>
      </c>
      <c r="G74" s="75">
        <v>2</v>
      </c>
      <c r="H74" s="170">
        <f>L9*20.75</f>
        <v>15.5625</v>
      </c>
      <c r="I74" s="67">
        <f t="shared" si="5"/>
        <v>19.390875</v>
      </c>
      <c r="J74" s="186">
        <f t="shared" si="6"/>
        <v>38.78</v>
      </c>
    </row>
    <row r="75" spans="2:10" s="16" customFormat="1" ht="19.5" customHeight="1" outlineLevel="1">
      <c r="B75" s="190" t="s">
        <v>315</v>
      </c>
      <c r="C75" s="56">
        <v>3256</v>
      </c>
      <c r="D75" s="31" t="s">
        <v>216</v>
      </c>
      <c r="E75" s="39" t="s">
        <v>180</v>
      </c>
      <c r="F75" s="56" t="s">
        <v>2</v>
      </c>
      <c r="G75" s="75">
        <v>3</v>
      </c>
      <c r="H75" s="170">
        <f>L9*6.74</f>
        <v>5.055</v>
      </c>
      <c r="I75" s="67">
        <f t="shared" si="5"/>
        <v>6.2985299999999995</v>
      </c>
      <c r="J75" s="186">
        <f t="shared" si="6"/>
        <v>18.9</v>
      </c>
    </row>
    <row r="76" spans="2:10" s="16" customFormat="1" ht="19.5" customHeight="1" outlineLevel="1">
      <c r="B76" s="190" t="s">
        <v>316</v>
      </c>
      <c r="C76" s="56">
        <v>3260</v>
      </c>
      <c r="D76" s="31" t="s">
        <v>216</v>
      </c>
      <c r="E76" s="39" t="s">
        <v>181</v>
      </c>
      <c r="F76" s="56" t="s">
        <v>2</v>
      </c>
      <c r="G76" s="75">
        <v>2</v>
      </c>
      <c r="H76" s="170">
        <f>L9*12.63</f>
        <v>9.4725</v>
      </c>
      <c r="I76" s="67">
        <f t="shared" si="5"/>
        <v>11.802735</v>
      </c>
      <c r="J76" s="186">
        <f t="shared" si="6"/>
        <v>23.61</v>
      </c>
    </row>
    <row r="77" spans="2:10" ht="19.5" customHeight="1" outlineLevel="1">
      <c r="B77" s="252" t="s">
        <v>258</v>
      </c>
      <c r="C77" s="253"/>
      <c r="D77" s="253"/>
      <c r="E77" s="253"/>
      <c r="F77" s="253"/>
      <c r="G77" s="253"/>
      <c r="H77" s="20"/>
      <c r="I77" s="20"/>
      <c r="J77" s="187">
        <f>SUM(J63:J76)</f>
        <v>1731.5</v>
      </c>
    </row>
    <row r="78" spans="2:10" ht="19.5" customHeight="1">
      <c r="B78" s="183">
        <v>8</v>
      </c>
      <c r="C78" s="110"/>
      <c r="D78" s="110"/>
      <c r="E78" s="111" t="s">
        <v>67</v>
      </c>
      <c r="F78" s="111"/>
      <c r="G78" s="112"/>
      <c r="H78" s="113"/>
      <c r="I78" s="114"/>
      <c r="J78" s="184">
        <f>J88</f>
        <v>2327.91</v>
      </c>
    </row>
    <row r="79" spans="2:10" ht="19.5" customHeight="1" outlineLevel="1">
      <c r="B79" s="190" t="s">
        <v>21</v>
      </c>
      <c r="C79" s="56">
        <v>11713</v>
      </c>
      <c r="D79" s="56" t="s">
        <v>216</v>
      </c>
      <c r="E79" s="42" t="s">
        <v>165</v>
      </c>
      <c r="F79" s="56" t="s">
        <v>2</v>
      </c>
      <c r="G79" s="75">
        <v>6</v>
      </c>
      <c r="H79" s="170">
        <f>L9*24.44</f>
        <v>18.330000000000002</v>
      </c>
      <c r="I79" s="67">
        <f aca="true" t="shared" si="7" ref="I79:I87">H79*$L$8</f>
        <v>22.839180000000002</v>
      </c>
      <c r="J79" s="186">
        <f aca="true" t="shared" si="8" ref="J79:J87">ROUND(G79*I79,2)</f>
        <v>137.04</v>
      </c>
    </row>
    <row r="80" spans="2:10" ht="19.5" customHeight="1" outlineLevel="1">
      <c r="B80" s="190" t="s">
        <v>259</v>
      </c>
      <c r="C80" s="56">
        <v>11739</v>
      </c>
      <c r="D80" s="56" t="s">
        <v>216</v>
      </c>
      <c r="E80" s="42" t="s">
        <v>166</v>
      </c>
      <c r="F80" s="56" t="s">
        <v>2</v>
      </c>
      <c r="G80" s="75">
        <v>6</v>
      </c>
      <c r="H80" s="170">
        <f>L9*5.29</f>
        <v>3.9675000000000002</v>
      </c>
      <c r="I80" s="67">
        <f t="shared" si="7"/>
        <v>4.943505</v>
      </c>
      <c r="J80" s="186">
        <f t="shared" si="8"/>
        <v>29.66</v>
      </c>
    </row>
    <row r="81" spans="2:10" ht="19.5" customHeight="1" outlineLevel="1">
      <c r="B81" s="190" t="s">
        <v>260</v>
      </c>
      <c r="C81" s="56">
        <v>39319</v>
      </c>
      <c r="D81" s="56" t="s">
        <v>216</v>
      </c>
      <c r="E81" s="42" t="s">
        <v>169</v>
      </c>
      <c r="F81" s="56" t="s">
        <v>2</v>
      </c>
      <c r="G81" s="75">
        <v>2</v>
      </c>
      <c r="H81" s="170">
        <f>L9*3.91</f>
        <v>2.9325</v>
      </c>
      <c r="I81" s="67">
        <f t="shared" si="7"/>
        <v>3.6538950000000003</v>
      </c>
      <c r="J81" s="186">
        <f t="shared" si="8"/>
        <v>7.31</v>
      </c>
    </row>
    <row r="82" spans="2:10" ht="19.5" customHeight="1" outlineLevel="1">
      <c r="B82" s="190" t="s">
        <v>261</v>
      </c>
      <c r="C82" s="56">
        <v>89714</v>
      </c>
      <c r="D82" s="56" t="s">
        <v>47</v>
      </c>
      <c r="E82" s="42" t="s">
        <v>79</v>
      </c>
      <c r="F82" s="56" t="s">
        <v>1</v>
      </c>
      <c r="G82" s="75">
        <v>12</v>
      </c>
      <c r="H82" s="170">
        <v>40.71</v>
      </c>
      <c r="I82" s="67">
        <f t="shared" si="7"/>
        <v>50.72466</v>
      </c>
      <c r="J82" s="186">
        <f t="shared" si="8"/>
        <v>608.7</v>
      </c>
    </row>
    <row r="83" spans="2:10" ht="19.5" customHeight="1" outlineLevel="1">
      <c r="B83" s="190" t="s">
        <v>262</v>
      </c>
      <c r="C83" s="56">
        <v>89711</v>
      </c>
      <c r="D83" s="56" t="s">
        <v>47</v>
      </c>
      <c r="E83" s="42" t="s">
        <v>80</v>
      </c>
      <c r="F83" s="56" t="s">
        <v>1</v>
      </c>
      <c r="G83" s="75">
        <v>6</v>
      </c>
      <c r="H83" s="170">
        <v>14.08</v>
      </c>
      <c r="I83" s="67">
        <f t="shared" si="7"/>
        <v>17.54368</v>
      </c>
      <c r="J83" s="186">
        <f t="shared" si="8"/>
        <v>105.26</v>
      </c>
    </row>
    <row r="84" spans="2:10" ht="19.5" customHeight="1" outlineLevel="1">
      <c r="B84" s="190" t="s">
        <v>263</v>
      </c>
      <c r="C84" s="56">
        <v>89712</v>
      </c>
      <c r="D84" s="56" t="s">
        <v>47</v>
      </c>
      <c r="E84" s="42" t="s">
        <v>81</v>
      </c>
      <c r="F84" s="56" t="s">
        <v>1</v>
      </c>
      <c r="G84" s="75">
        <v>6</v>
      </c>
      <c r="H84" s="170">
        <v>20.94</v>
      </c>
      <c r="I84" s="67">
        <f t="shared" si="7"/>
        <v>26.091240000000003</v>
      </c>
      <c r="J84" s="186">
        <f t="shared" si="8"/>
        <v>156.55</v>
      </c>
    </row>
    <row r="85" spans="2:10" ht="19.5" customHeight="1" outlineLevel="1">
      <c r="B85" s="190" t="s">
        <v>264</v>
      </c>
      <c r="C85" s="31">
        <v>180678</v>
      </c>
      <c r="D85" s="56" t="s">
        <v>215</v>
      </c>
      <c r="E85" s="26" t="s">
        <v>217</v>
      </c>
      <c r="F85" s="56" t="s">
        <v>2</v>
      </c>
      <c r="G85" s="75">
        <v>2</v>
      </c>
      <c r="H85" s="170">
        <f>L9*434.46</f>
        <v>325.84499999999997</v>
      </c>
      <c r="I85" s="67">
        <f t="shared" si="7"/>
        <v>406.00287</v>
      </c>
      <c r="J85" s="186">
        <f t="shared" si="8"/>
        <v>812.01</v>
      </c>
    </row>
    <row r="86" spans="2:10" ht="19.5" customHeight="1" outlineLevel="1">
      <c r="B86" s="190" t="s">
        <v>300</v>
      </c>
      <c r="C86" s="31">
        <v>6149</v>
      </c>
      <c r="D86" s="56" t="s">
        <v>216</v>
      </c>
      <c r="E86" s="26" t="s">
        <v>167</v>
      </c>
      <c r="F86" s="56" t="s">
        <v>2</v>
      </c>
      <c r="G86" s="75">
        <v>8</v>
      </c>
      <c r="H86" s="170">
        <v>13.02</v>
      </c>
      <c r="I86" s="67">
        <f t="shared" si="7"/>
        <v>16.22292</v>
      </c>
      <c r="J86" s="186">
        <f t="shared" si="8"/>
        <v>129.78</v>
      </c>
    </row>
    <row r="87" spans="2:10" ht="19.5" customHeight="1" outlineLevel="1">
      <c r="B87" s="190" t="s">
        <v>301</v>
      </c>
      <c r="C87" s="31">
        <v>38643</v>
      </c>
      <c r="D87" s="56" t="s">
        <v>216</v>
      </c>
      <c r="E87" s="26" t="s">
        <v>168</v>
      </c>
      <c r="F87" s="56" t="s">
        <v>2</v>
      </c>
      <c r="G87" s="75">
        <v>8</v>
      </c>
      <c r="H87" s="170">
        <v>34.27</v>
      </c>
      <c r="I87" s="67">
        <f t="shared" si="7"/>
        <v>42.70042</v>
      </c>
      <c r="J87" s="186">
        <f t="shared" si="8"/>
        <v>341.6</v>
      </c>
    </row>
    <row r="88" spans="2:13" ht="19.5" customHeight="1" outlineLevel="1">
      <c r="B88" s="252" t="s">
        <v>265</v>
      </c>
      <c r="C88" s="253"/>
      <c r="D88" s="253"/>
      <c r="E88" s="253"/>
      <c r="F88" s="253"/>
      <c r="G88" s="253"/>
      <c r="H88" s="20"/>
      <c r="I88" s="20"/>
      <c r="J88" s="187">
        <f>SUM(J79:J87)</f>
        <v>2327.91</v>
      </c>
      <c r="M88" s="100"/>
    </row>
    <row r="89" spans="2:10" ht="19.5" customHeight="1">
      <c r="B89" s="183">
        <v>9</v>
      </c>
      <c r="C89" s="110"/>
      <c r="D89" s="110"/>
      <c r="E89" s="111" t="s">
        <v>193</v>
      </c>
      <c r="F89" s="111"/>
      <c r="G89" s="112"/>
      <c r="H89" s="113"/>
      <c r="I89" s="114"/>
      <c r="J89" s="184">
        <f>J92</f>
        <v>2146.9700000000003</v>
      </c>
    </row>
    <row r="90" spans="2:12" ht="19.5" customHeight="1" outlineLevel="1">
      <c r="B90" s="190" t="s">
        <v>22</v>
      </c>
      <c r="C90" s="31">
        <v>241320</v>
      </c>
      <c r="D90" s="56" t="s">
        <v>215</v>
      </c>
      <c r="E90" s="26" t="s">
        <v>287</v>
      </c>
      <c r="F90" s="56" t="s">
        <v>219</v>
      </c>
      <c r="G90" s="75">
        <v>8</v>
      </c>
      <c r="H90" s="170">
        <v>189.72</v>
      </c>
      <c r="I90" s="67">
        <f>H90*$L$8</f>
        <v>236.39112</v>
      </c>
      <c r="J90" s="186">
        <f>ROUND(G90*I90,2)</f>
        <v>1891.13</v>
      </c>
      <c r="K90" s="6">
        <v>21056</v>
      </c>
      <c r="L90" s="6">
        <f>16*0.75</f>
        <v>12</v>
      </c>
    </row>
    <row r="91" spans="2:10" ht="19.5" customHeight="1" outlineLevel="1">
      <c r="B91" s="190" t="s">
        <v>23</v>
      </c>
      <c r="C91" s="31">
        <v>100322</v>
      </c>
      <c r="D91" s="31" t="s">
        <v>47</v>
      </c>
      <c r="E91" s="26" t="s">
        <v>194</v>
      </c>
      <c r="F91" s="56" t="s">
        <v>42</v>
      </c>
      <c r="G91" s="75">
        <v>1.87</v>
      </c>
      <c r="H91" s="170">
        <v>109.8</v>
      </c>
      <c r="I91" s="67">
        <f>H91*$L$8</f>
        <v>136.8108</v>
      </c>
      <c r="J91" s="186">
        <f>ROUND(G91*I91,2)</f>
        <v>255.84</v>
      </c>
    </row>
    <row r="92" spans="2:12" ht="19.5" customHeight="1" outlineLevel="1">
      <c r="B92" s="252" t="s">
        <v>376</v>
      </c>
      <c r="C92" s="253"/>
      <c r="D92" s="253"/>
      <c r="E92" s="253"/>
      <c r="F92" s="253"/>
      <c r="G92" s="253"/>
      <c r="H92" s="20"/>
      <c r="I92" s="20"/>
      <c r="J92" s="187">
        <f>SUM(J90:J91)</f>
        <v>2146.9700000000003</v>
      </c>
      <c r="L92" s="100"/>
    </row>
    <row r="93" spans="2:10" ht="19.5" customHeight="1">
      <c r="B93" s="193"/>
      <c r="C93" s="43"/>
      <c r="D93" s="43"/>
      <c r="E93" s="1"/>
      <c r="F93" s="8"/>
      <c r="G93" s="76"/>
      <c r="H93" s="76"/>
      <c r="I93" s="71"/>
      <c r="J93" s="194"/>
    </row>
    <row r="94" spans="2:10" ht="19.5" customHeight="1">
      <c r="B94" s="183">
        <v>10</v>
      </c>
      <c r="C94" s="110"/>
      <c r="D94" s="110"/>
      <c r="E94" s="111" t="s">
        <v>3</v>
      </c>
      <c r="F94" s="111"/>
      <c r="G94" s="112"/>
      <c r="H94" s="113"/>
      <c r="I94" s="114"/>
      <c r="J94" s="184">
        <f>J109</f>
        <v>9678.300000000001</v>
      </c>
    </row>
    <row r="95" spans="2:10" s="16" customFormat="1" ht="39.75" customHeight="1" outlineLevel="1">
      <c r="B95" s="191" t="s">
        <v>24</v>
      </c>
      <c r="C95" s="31">
        <v>95472</v>
      </c>
      <c r="D95" s="31" t="s">
        <v>47</v>
      </c>
      <c r="E95" s="29" t="s">
        <v>218</v>
      </c>
      <c r="F95" s="18" t="s">
        <v>2</v>
      </c>
      <c r="G95" s="72">
        <v>2</v>
      </c>
      <c r="H95" s="170">
        <f>L9*607.48</f>
        <v>455.61</v>
      </c>
      <c r="I95" s="67">
        <f aca="true" t="shared" si="9" ref="I95:I108">H95*$L$8</f>
        <v>567.69006</v>
      </c>
      <c r="J95" s="186">
        <f aca="true" t="shared" si="10" ref="J95:J108">ROUND(G95*I95,2)</f>
        <v>1135.38</v>
      </c>
    </row>
    <row r="96" spans="2:17" s="16" customFormat="1" ht="30" customHeight="1" outlineLevel="1">
      <c r="B96" s="191" t="s">
        <v>37</v>
      </c>
      <c r="C96" s="51">
        <v>1370</v>
      </c>
      <c r="D96" s="27" t="s">
        <v>216</v>
      </c>
      <c r="E96" s="26" t="s">
        <v>52</v>
      </c>
      <c r="F96" s="18" t="s">
        <v>2</v>
      </c>
      <c r="G96" s="72">
        <v>2</v>
      </c>
      <c r="H96" s="170">
        <v>85.38</v>
      </c>
      <c r="I96" s="67">
        <f t="shared" si="9"/>
        <v>106.38347999999999</v>
      </c>
      <c r="J96" s="186">
        <f t="shared" si="10"/>
        <v>212.77</v>
      </c>
      <c r="L96" s="54"/>
      <c r="M96" s="54"/>
      <c r="N96" s="54"/>
      <c r="O96" s="54"/>
      <c r="P96" s="54"/>
      <c r="Q96" s="54"/>
    </row>
    <row r="97" spans="2:17" s="16" customFormat="1" ht="30" customHeight="1" outlineLevel="1">
      <c r="B97" s="191" t="s">
        <v>38</v>
      </c>
      <c r="C97" s="51">
        <v>86888</v>
      </c>
      <c r="D97" s="27" t="s">
        <v>47</v>
      </c>
      <c r="E97" s="26" t="s">
        <v>164</v>
      </c>
      <c r="F97" s="18" t="s">
        <v>2</v>
      </c>
      <c r="G97" s="72">
        <v>4</v>
      </c>
      <c r="H97" s="170">
        <v>346.52</v>
      </c>
      <c r="I97" s="67">
        <f t="shared" si="9"/>
        <v>431.76392</v>
      </c>
      <c r="J97" s="186">
        <f t="shared" si="10"/>
        <v>1727.06</v>
      </c>
      <c r="K97" s="92"/>
      <c r="L97" s="54"/>
      <c r="M97" s="54"/>
      <c r="N97" s="54"/>
      <c r="O97" s="54"/>
      <c r="P97" s="54"/>
      <c r="Q97" s="54"/>
    </row>
    <row r="98" spans="2:17" s="16" customFormat="1" ht="19.5" customHeight="1" outlineLevel="1">
      <c r="B98" s="191" t="s">
        <v>266</v>
      </c>
      <c r="C98" s="51">
        <v>11761</v>
      </c>
      <c r="D98" s="27" t="s">
        <v>216</v>
      </c>
      <c r="E98" s="26" t="s">
        <v>202</v>
      </c>
      <c r="F98" s="18" t="s">
        <v>2</v>
      </c>
      <c r="G98" s="72">
        <v>4</v>
      </c>
      <c r="H98" s="170">
        <v>53.2</v>
      </c>
      <c r="I98" s="67">
        <f t="shared" si="9"/>
        <v>66.2872</v>
      </c>
      <c r="J98" s="186">
        <f t="shared" si="10"/>
        <v>265.15</v>
      </c>
      <c r="K98" s="92"/>
      <c r="L98" s="54"/>
      <c r="M98" s="54"/>
      <c r="N98" s="54"/>
      <c r="O98" s="54"/>
      <c r="P98" s="54"/>
      <c r="Q98" s="54"/>
    </row>
    <row r="99" spans="2:17" s="16" customFormat="1" ht="39.75" customHeight="1" outlineLevel="1">
      <c r="B99" s="191" t="s">
        <v>267</v>
      </c>
      <c r="C99" s="31">
        <v>86943</v>
      </c>
      <c r="D99" s="31" t="s">
        <v>47</v>
      </c>
      <c r="E99" s="26" t="s">
        <v>53</v>
      </c>
      <c r="F99" s="15" t="s">
        <v>2</v>
      </c>
      <c r="G99" s="69">
        <v>2</v>
      </c>
      <c r="H99" s="170">
        <f>L9*169.59</f>
        <v>127.1925</v>
      </c>
      <c r="I99" s="67">
        <f t="shared" si="9"/>
        <v>158.481855</v>
      </c>
      <c r="J99" s="186">
        <f t="shared" si="10"/>
        <v>316.96</v>
      </c>
      <c r="L99" s="54"/>
      <c r="M99" s="54"/>
      <c r="N99" s="54"/>
      <c r="O99" s="54"/>
      <c r="P99" s="54"/>
      <c r="Q99" s="54"/>
    </row>
    <row r="100" spans="2:17" s="16" customFormat="1" ht="39.75" customHeight="1" outlineLevel="1">
      <c r="B100" s="191" t="s">
        <v>39</v>
      </c>
      <c r="C100" s="31">
        <v>86901</v>
      </c>
      <c r="D100" s="31" t="s">
        <v>47</v>
      </c>
      <c r="E100" s="26" t="s">
        <v>116</v>
      </c>
      <c r="F100" s="15" t="s">
        <v>2</v>
      </c>
      <c r="G100" s="69">
        <v>6</v>
      </c>
      <c r="H100" s="170">
        <v>106.22</v>
      </c>
      <c r="I100" s="67">
        <f t="shared" si="9"/>
        <v>132.35012</v>
      </c>
      <c r="J100" s="186">
        <f t="shared" si="10"/>
        <v>794.1</v>
      </c>
      <c r="L100" s="43"/>
      <c r="M100" s="82"/>
      <c r="N100" s="82"/>
      <c r="O100" s="55"/>
      <c r="P100" s="54"/>
      <c r="Q100" s="54"/>
    </row>
    <row r="101" spans="2:17" s="16" customFormat="1" ht="30" customHeight="1" outlineLevel="1">
      <c r="B101" s="191" t="s">
        <v>45</v>
      </c>
      <c r="C101" s="31">
        <v>86906</v>
      </c>
      <c r="D101" s="31" t="s">
        <v>47</v>
      </c>
      <c r="E101" s="26" t="s">
        <v>54</v>
      </c>
      <c r="F101" s="15" t="s">
        <v>2</v>
      </c>
      <c r="G101" s="69">
        <v>8</v>
      </c>
      <c r="H101" s="170">
        <v>41.17</v>
      </c>
      <c r="I101" s="67">
        <f t="shared" si="9"/>
        <v>51.29782</v>
      </c>
      <c r="J101" s="186">
        <f t="shared" si="10"/>
        <v>410.38</v>
      </c>
      <c r="L101" s="54"/>
      <c r="M101" s="54"/>
      <c r="N101" s="54"/>
      <c r="O101" s="54"/>
      <c r="P101" s="54"/>
      <c r="Q101" s="54"/>
    </row>
    <row r="102" spans="2:10" s="16" customFormat="1" ht="19.5" customHeight="1" outlineLevel="1">
      <c r="B102" s="191" t="s">
        <v>69</v>
      </c>
      <c r="C102" s="31">
        <v>11703</v>
      </c>
      <c r="D102" s="31" t="s">
        <v>216</v>
      </c>
      <c r="E102" s="26" t="s">
        <v>55</v>
      </c>
      <c r="F102" s="15" t="s">
        <v>2</v>
      </c>
      <c r="G102" s="69">
        <v>6</v>
      </c>
      <c r="H102" s="170">
        <v>27.39</v>
      </c>
      <c r="I102" s="67">
        <f t="shared" si="9"/>
        <v>34.12794</v>
      </c>
      <c r="J102" s="186">
        <f t="shared" si="10"/>
        <v>204.77</v>
      </c>
    </row>
    <row r="103" spans="2:10" s="16" customFormat="1" ht="30" customHeight="1" outlineLevel="1">
      <c r="B103" s="191" t="s">
        <v>94</v>
      </c>
      <c r="C103" s="31">
        <v>190716</v>
      </c>
      <c r="D103" s="31" t="s">
        <v>215</v>
      </c>
      <c r="E103" s="22" t="s">
        <v>56</v>
      </c>
      <c r="F103" s="15" t="s">
        <v>219</v>
      </c>
      <c r="G103" s="69">
        <f>6</f>
        <v>6</v>
      </c>
      <c r="H103" s="170">
        <f>L9*220.12</f>
        <v>165.09</v>
      </c>
      <c r="I103" s="67">
        <f t="shared" si="9"/>
        <v>205.70214</v>
      </c>
      <c r="J103" s="186">
        <f t="shared" si="10"/>
        <v>1234.21</v>
      </c>
    </row>
    <row r="104" spans="2:10" s="16" customFormat="1" ht="30" customHeight="1" outlineLevel="1">
      <c r="B104" s="191" t="s">
        <v>117</v>
      </c>
      <c r="C104" s="31">
        <v>190716</v>
      </c>
      <c r="D104" s="31" t="s">
        <v>215</v>
      </c>
      <c r="E104" s="22" t="s">
        <v>203</v>
      </c>
      <c r="F104" s="15" t="s">
        <v>219</v>
      </c>
      <c r="G104" s="69">
        <f>2*1.4</f>
        <v>2.8</v>
      </c>
      <c r="H104" s="170">
        <f>H103</f>
        <v>165.09</v>
      </c>
      <c r="I104" s="67">
        <f t="shared" si="9"/>
        <v>205.70214</v>
      </c>
      <c r="J104" s="186">
        <f t="shared" si="10"/>
        <v>575.97</v>
      </c>
    </row>
    <row r="105" spans="2:10" s="16" customFormat="1" ht="30" customHeight="1" outlineLevel="1">
      <c r="B105" s="191" t="s">
        <v>268</v>
      </c>
      <c r="C105" s="31">
        <v>190716</v>
      </c>
      <c r="D105" s="31" t="s">
        <v>215</v>
      </c>
      <c r="E105" s="22" t="s">
        <v>204</v>
      </c>
      <c r="F105" s="15" t="s">
        <v>219</v>
      </c>
      <c r="G105" s="69">
        <v>4</v>
      </c>
      <c r="H105" s="170">
        <f>H104</f>
        <v>165.09</v>
      </c>
      <c r="I105" s="67">
        <f t="shared" si="9"/>
        <v>205.70214</v>
      </c>
      <c r="J105" s="186">
        <f t="shared" si="10"/>
        <v>822.81</v>
      </c>
    </row>
    <row r="106" spans="2:10" s="16" customFormat="1" ht="29.25" customHeight="1" outlineLevel="1">
      <c r="B106" s="191" t="s">
        <v>269</v>
      </c>
      <c r="C106" s="31">
        <v>100860</v>
      </c>
      <c r="D106" s="31" t="s">
        <v>47</v>
      </c>
      <c r="E106" s="26" t="s">
        <v>288</v>
      </c>
      <c r="F106" s="15" t="s">
        <v>2</v>
      </c>
      <c r="G106" s="69">
        <v>6</v>
      </c>
      <c r="H106" s="170">
        <v>73.08</v>
      </c>
      <c r="I106" s="67">
        <f t="shared" si="9"/>
        <v>91.05767999999999</v>
      </c>
      <c r="J106" s="186">
        <f t="shared" si="10"/>
        <v>546.35</v>
      </c>
    </row>
    <row r="107" spans="2:11" s="16" customFormat="1" ht="30" customHeight="1" outlineLevel="1">
      <c r="B107" s="191" t="s">
        <v>270</v>
      </c>
      <c r="C107" s="31">
        <v>86914</v>
      </c>
      <c r="D107" s="31" t="s">
        <v>47</v>
      </c>
      <c r="E107" s="26" t="s">
        <v>57</v>
      </c>
      <c r="F107" s="15" t="s">
        <v>2</v>
      </c>
      <c r="G107" s="69">
        <v>2</v>
      </c>
      <c r="H107" s="170">
        <v>32</v>
      </c>
      <c r="I107" s="67">
        <f t="shared" si="9"/>
        <v>39.872</v>
      </c>
      <c r="J107" s="186">
        <f t="shared" si="10"/>
        <v>79.74</v>
      </c>
      <c r="K107" s="92"/>
    </row>
    <row r="108" spans="2:11" s="16" customFormat="1" ht="19.5" customHeight="1" outlineLevel="1">
      <c r="B108" s="191" t="s">
        <v>271</v>
      </c>
      <c r="C108" s="31">
        <v>191498</v>
      </c>
      <c r="D108" s="31" t="s">
        <v>215</v>
      </c>
      <c r="E108" s="26" t="s">
        <v>192</v>
      </c>
      <c r="F108" s="15" t="s">
        <v>2</v>
      </c>
      <c r="G108" s="69">
        <v>2</v>
      </c>
      <c r="H108" s="170">
        <f>L9*723.73</f>
        <v>542.7975</v>
      </c>
      <c r="I108" s="67">
        <f t="shared" si="9"/>
        <v>676.325685</v>
      </c>
      <c r="J108" s="186">
        <f t="shared" si="10"/>
        <v>1352.65</v>
      </c>
      <c r="K108" s="92"/>
    </row>
    <row r="109" spans="2:10" ht="19.5" customHeight="1" outlineLevel="1">
      <c r="B109" s="252" t="s">
        <v>274</v>
      </c>
      <c r="C109" s="253"/>
      <c r="D109" s="253"/>
      <c r="E109" s="253"/>
      <c r="F109" s="253"/>
      <c r="G109" s="253"/>
      <c r="H109" s="20"/>
      <c r="I109" s="20"/>
      <c r="J109" s="187">
        <f>SUM(J95:J108)</f>
        <v>9678.300000000001</v>
      </c>
    </row>
    <row r="110" spans="2:10" ht="19.5" customHeight="1">
      <c r="B110" s="183">
        <v>11</v>
      </c>
      <c r="C110" s="110"/>
      <c r="D110" s="110"/>
      <c r="E110" s="111" t="s">
        <v>74</v>
      </c>
      <c r="F110" s="111"/>
      <c r="G110" s="112"/>
      <c r="H110" s="113"/>
      <c r="I110" s="114"/>
      <c r="J110" s="184">
        <f>J116</f>
        <v>739.1600000000001</v>
      </c>
    </row>
    <row r="111" spans="2:10" ht="19.5" customHeight="1" outlineLevel="1">
      <c r="B111" s="195" t="s">
        <v>25</v>
      </c>
      <c r="C111" s="56">
        <v>101909</v>
      </c>
      <c r="D111" s="56" t="s">
        <v>47</v>
      </c>
      <c r="E111" s="30" t="s">
        <v>82</v>
      </c>
      <c r="F111" s="56" t="s">
        <v>2</v>
      </c>
      <c r="G111" s="70">
        <v>2</v>
      </c>
      <c r="H111" s="120">
        <v>198.44</v>
      </c>
      <c r="I111" s="67">
        <f>H111*$L$8</f>
        <v>247.25624</v>
      </c>
      <c r="J111" s="186">
        <f>ROUND(G111*I111,2)</f>
        <v>494.51</v>
      </c>
    </row>
    <row r="112" spans="2:10" ht="19.5" customHeight="1" outlineLevel="1">
      <c r="B112" s="195" t="s">
        <v>26</v>
      </c>
      <c r="C112" s="44" t="s">
        <v>220</v>
      </c>
      <c r="D112" s="56" t="s">
        <v>47</v>
      </c>
      <c r="E112" s="30" t="s">
        <v>83</v>
      </c>
      <c r="F112" s="56" t="s">
        <v>2</v>
      </c>
      <c r="G112" s="70">
        <v>2</v>
      </c>
      <c r="H112" s="103">
        <v>28.02</v>
      </c>
      <c r="I112" s="67">
        <f>H112*$L$8</f>
        <v>34.91292</v>
      </c>
      <c r="J112" s="186">
        <f>ROUND(G112*I112,2)</f>
        <v>69.83</v>
      </c>
    </row>
    <row r="113" spans="2:10" ht="19.5" customHeight="1" outlineLevel="1">
      <c r="B113" s="195" t="s">
        <v>302</v>
      </c>
      <c r="C113" s="51">
        <v>72947</v>
      </c>
      <c r="D113" s="27" t="s">
        <v>47</v>
      </c>
      <c r="E113" s="22" t="s">
        <v>84</v>
      </c>
      <c r="F113" s="56" t="s">
        <v>5</v>
      </c>
      <c r="G113" s="70">
        <v>2</v>
      </c>
      <c r="H113" s="103">
        <v>13.75</v>
      </c>
      <c r="I113" s="67">
        <f>H113*$L$8</f>
        <v>17.1325</v>
      </c>
      <c r="J113" s="186">
        <f>ROUND(G113*I113,2)</f>
        <v>34.27</v>
      </c>
    </row>
    <row r="114" spans="2:10" ht="19.5" customHeight="1" outlineLevel="1">
      <c r="B114" s="195" t="s">
        <v>303</v>
      </c>
      <c r="C114" s="27" t="s">
        <v>221</v>
      </c>
      <c r="D114" s="27" t="s">
        <v>216</v>
      </c>
      <c r="E114" s="22" t="s">
        <v>85</v>
      </c>
      <c r="F114" s="56" t="s">
        <v>2</v>
      </c>
      <c r="G114" s="70">
        <v>2</v>
      </c>
      <c r="H114" s="104">
        <v>19</v>
      </c>
      <c r="I114" s="67">
        <f>H114*$L$8</f>
        <v>23.674</v>
      </c>
      <c r="J114" s="186">
        <f>ROUND(G114*I114,2)</f>
        <v>47.35</v>
      </c>
    </row>
    <row r="115" spans="2:10" ht="19.5" customHeight="1" outlineLevel="1">
      <c r="B115" s="195" t="s">
        <v>304</v>
      </c>
      <c r="C115" s="27" t="s">
        <v>222</v>
      </c>
      <c r="D115" s="27" t="s">
        <v>216</v>
      </c>
      <c r="E115" s="22" t="s">
        <v>86</v>
      </c>
      <c r="F115" s="56" t="s">
        <v>2</v>
      </c>
      <c r="G115" s="70">
        <v>2</v>
      </c>
      <c r="H115" s="103">
        <v>37.4</v>
      </c>
      <c r="I115" s="67">
        <f>H115*$L$8</f>
        <v>46.6004</v>
      </c>
      <c r="J115" s="186">
        <f>ROUND(G115*I115,2)</f>
        <v>93.2</v>
      </c>
    </row>
    <row r="116" spans="2:10" ht="19.5" customHeight="1" outlineLevel="1">
      <c r="B116" s="252" t="s">
        <v>273</v>
      </c>
      <c r="C116" s="253"/>
      <c r="D116" s="253"/>
      <c r="E116" s="253"/>
      <c r="F116" s="253"/>
      <c r="G116" s="253"/>
      <c r="H116" s="20"/>
      <c r="I116" s="46"/>
      <c r="J116" s="196">
        <f>SUM(J111:J115)</f>
        <v>739.1600000000001</v>
      </c>
    </row>
    <row r="117" spans="2:10" ht="19.5" customHeight="1">
      <c r="B117" s="183">
        <v>12</v>
      </c>
      <c r="C117" s="110"/>
      <c r="D117" s="110"/>
      <c r="E117" s="111" t="s">
        <v>213</v>
      </c>
      <c r="F117" s="111"/>
      <c r="G117" s="112"/>
      <c r="H117" s="113"/>
      <c r="I117" s="114"/>
      <c r="J117" s="184">
        <f>J160</f>
        <v>20507.109999999997</v>
      </c>
    </row>
    <row r="118" spans="2:10" ht="19.5" customHeight="1" outlineLevel="1">
      <c r="B118" s="197"/>
      <c r="C118" s="47"/>
      <c r="D118" s="47"/>
      <c r="E118" s="48" t="s">
        <v>108</v>
      </c>
      <c r="F118" s="48"/>
      <c r="G118" s="77"/>
      <c r="H118" s="105"/>
      <c r="I118" s="108"/>
      <c r="J118" s="198"/>
    </row>
    <row r="119" spans="2:10" ht="30" customHeight="1" outlineLevel="1">
      <c r="B119" s="191" t="s">
        <v>27</v>
      </c>
      <c r="C119" s="14">
        <v>170321</v>
      </c>
      <c r="D119" s="4" t="s">
        <v>215</v>
      </c>
      <c r="E119" s="12" t="s">
        <v>154</v>
      </c>
      <c r="F119" s="5" t="s">
        <v>2</v>
      </c>
      <c r="G119" s="69">
        <v>1</v>
      </c>
      <c r="H119" s="103">
        <v>324</v>
      </c>
      <c r="I119" s="67">
        <f aca="true" t="shared" si="11" ref="I119:I159">H119*$L$8</f>
        <v>403.704</v>
      </c>
      <c r="J119" s="186">
        <f aca="true" t="shared" si="12" ref="J119:J124">ROUND(G119*I119,2)</f>
        <v>403.7</v>
      </c>
    </row>
    <row r="120" spans="2:10" ht="19.5" customHeight="1" outlineLevel="1">
      <c r="B120" s="191" t="s">
        <v>28</v>
      </c>
      <c r="C120" s="14">
        <v>101890</v>
      </c>
      <c r="D120" s="4" t="s">
        <v>47</v>
      </c>
      <c r="E120" s="12" t="s">
        <v>146</v>
      </c>
      <c r="F120" s="5" t="s">
        <v>2</v>
      </c>
      <c r="G120" s="69">
        <v>7</v>
      </c>
      <c r="H120" s="170">
        <v>54.29</v>
      </c>
      <c r="I120" s="67">
        <f t="shared" si="11"/>
        <v>67.64534</v>
      </c>
      <c r="J120" s="186">
        <f t="shared" si="12"/>
        <v>473.52</v>
      </c>
    </row>
    <row r="121" spans="2:10" ht="19.5" customHeight="1" outlineLevel="1">
      <c r="B121" s="191" t="s">
        <v>182</v>
      </c>
      <c r="C121" s="14">
        <v>101892</v>
      </c>
      <c r="D121" s="4" t="s">
        <v>47</v>
      </c>
      <c r="E121" s="12" t="s">
        <v>147</v>
      </c>
      <c r="F121" s="65" t="s">
        <v>2</v>
      </c>
      <c r="G121" s="69">
        <v>5</v>
      </c>
      <c r="H121" s="170">
        <f>H120</f>
        <v>54.29</v>
      </c>
      <c r="I121" s="67">
        <f t="shared" si="11"/>
        <v>67.64534</v>
      </c>
      <c r="J121" s="186">
        <f t="shared" si="12"/>
        <v>338.23</v>
      </c>
    </row>
    <row r="122" spans="2:10" ht="19.5" customHeight="1" outlineLevel="1">
      <c r="B122" s="191" t="s">
        <v>95</v>
      </c>
      <c r="C122" s="14">
        <v>101892</v>
      </c>
      <c r="D122" s="4" t="s">
        <v>47</v>
      </c>
      <c r="E122" s="12" t="s">
        <v>148</v>
      </c>
      <c r="F122" s="65" t="s">
        <v>2</v>
      </c>
      <c r="G122" s="69">
        <v>8</v>
      </c>
      <c r="H122" s="170">
        <v>45.93</v>
      </c>
      <c r="I122" s="67">
        <f t="shared" si="11"/>
        <v>57.22878</v>
      </c>
      <c r="J122" s="186">
        <f t="shared" si="12"/>
        <v>457.83</v>
      </c>
    </row>
    <row r="123" spans="2:10" ht="19.5" customHeight="1" outlineLevel="1">
      <c r="B123" s="191" t="s">
        <v>96</v>
      </c>
      <c r="C123" s="14">
        <v>101892</v>
      </c>
      <c r="D123" s="4" t="s">
        <v>47</v>
      </c>
      <c r="E123" s="12" t="s">
        <v>149</v>
      </c>
      <c r="F123" s="65" t="s">
        <v>2</v>
      </c>
      <c r="G123" s="69">
        <v>2</v>
      </c>
      <c r="H123" s="170">
        <f>L9*481.93</f>
        <v>361.4475</v>
      </c>
      <c r="I123" s="67">
        <f t="shared" si="11"/>
        <v>450.363585</v>
      </c>
      <c r="J123" s="186">
        <f t="shared" si="12"/>
        <v>900.73</v>
      </c>
    </row>
    <row r="124" spans="2:10" ht="19.5" customHeight="1" outlineLevel="1">
      <c r="B124" s="191" t="s">
        <v>97</v>
      </c>
      <c r="C124" s="14">
        <v>101892</v>
      </c>
      <c r="D124" s="4" t="s">
        <v>47</v>
      </c>
      <c r="E124" s="12" t="s">
        <v>150</v>
      </c>
      <c r="F124" s="5" t="s">
        <v>2</v>
      </c>
      <c r="G124" s="69">
        <v>1</v>
      </c>
      <c r="H124" s="170">
        <f>H123</f>
        <v>361.4475</v>
      </c>
      <c r="I124" s="67">
        <f t="shared" si="11"/>
        <v>450.363585</v>
      </c>
      <c r="J124" s="186">
        <f t="shared" si="12"/>
        <v>450.36</v>
      </c>
    </row>
    <row r="125" spans="2:15" s="16" customFormat="1" ht="19.5" customHeight="1" outlineLevel="1">
      <c r="B125" s="199"/>
      <c r="C125" s="52"/>
      <c r="D125" s="52"/>
      <c r="E125" s="45" t="s">
        <v>87</v>
      </c>
      <c r="F125" s="39"/>
      <c r="G125" s="69"/>
      <c r="H125" s="103"/>
      <c r="I125" s="67"/>
      <c r="J125" s="186"/>
      <c r="L125" s="54"/>
      <c r="M125" s="54"/>
      <c r="N125" s="54"/>
      <c r="O125" s="54"/>
    </row>
    <row r="126" spans="2:15" s="16" customFormat="1" ht="19.5" customHeight="1" outlineLevel="1">
      <c r="B126" s="200" t="s">
        <v>96</v>
      </c>
      <c r="C126" s="41">
        <v>91834</v>
      </c>
      <c r="D126" s="41" t="s">
        <v>47</v>
      </c>
      <c r="E126" s="22" t="s">
        <v>125</v>
      </c>
      <c r="F126" s="41" t="s">
        <v>1</v>
      </c>
      <c r="G126" s="69"/>
      <c r="H126" s="103">
        <v>5.77</v>
      </c>
      <c r="I126" s="67">
        <f t="shared" si="11"/>
        <v>7.189419999999999</v>
      </c>
      <c r="J126" s="186">
        <f aca="true" t="shared" si="13" ref="J126:J146">ROUND(G126*I126,2)</f>
        <v>0</v>
      </c>
      <c r="L126" s="43"/>
      <c r="M126" s="2"/>
      <c r="N126" s="59"/>
      <c r="O126" s="54"/>
    </row>
    <row r="127" spans="2:15" s="16" customFormat="1" ht="19.5" customHeight="1" outlineLevel="1">
      <c r="B127" s="200" t="s">
        <v>97</v>
      </c>
      <c r="C127" s="41">
        <v>91836</v>
      </c>
      <c r="D127" s="41" t="s">
        <v>47</v>
      </c>
      <c r="E127" s="22" t="s">
        <v>126</v>
      </c>
      <c r="F127" s="41" t="s">
        <v>1</v>
      </c>
      <c r="G127" s="69">
        <v>18</v>
      </c>
      <c r="H127" s="103">
        <v>7.46</v>
      </c>
      <c r="I127" s="67">
        <f t="shared" si="11"/>
        <v>9.29516</v>
      </c>
      <c r="J127" s="186">
        <f t="shared" si="13"/>
        <v>167.31</v>
      </c>
      <c r="L127" s="43"/>
      <c r="M127" s="2"/>
      <c r="N127" s="59"/>
      <c r="O127" s="54"/>
    </row>
    <row r="128" spans="2:15" s="16" customFormat="1" ht="19.5" customHeight="1" outlineLevel="1">
      <c r="B128" s="200" t="s">
        <v>98</v>
      </c>
      <c r="C128" s="41">
        <v>91865</v>
      </c>
      <c r="D128" s="41" t="s">
        <v>47</v>
      </c>
      <c r="E128" s="22" t="s">
        <v>119</v>
      </c>
      <c r="F128" s="41" t="s">
        <v>1</v>
      </c>
      <c r="G128" s="69">
        <v>18</v>
      </c>
      <c r="H128" s="103">
        <v>11.72</v>
      </c>
      <c r="I128" s="67">
        <f t="shared" si="11"/>
        <v>14.60312</v>
      </c>
      <c r="J128" s="186">
        <f t="shared" si="13"/>
        <v>262.86</v>
      </c>
      <c r="L128" s="43"/>
      <c r="M128" s="2"/>
      <c r="N128" s="59"/>
      <c r="O128" s="54"/>
    </row>
    <row r="129" spans="2:15" s="16" customFormat="1" ht="19.5" customHeight="1" outlineLevel="1">
      <c r="B129" s="200" t="s">
        <v>99</v>
      </c>
      <c r="C129" s="41">
        <v>95746</v>
      </c>
      <c r="D129" s="41" t="s">
        <v>47</v>
      </c>
      <c r="E129" s="22" t="s">
        <v>153</v>
      </c>
      <c r="F129" s="41" t="s">
        <v>1</v>
      </c>
      <c r="G129" s="69">
        <v>82</v>
      </c>
      <c r="H129" s="103">
        <v>18.79</v>
      </c>
      <c r="I129" s="67">
        <f t="shared" si="11"/>
        <v>23.41234</v>
      </c>
      <c r="J129" s="186">
        <f t="shared" si="13"/>
        <v>1919.81</v>
      </c>
      <c r="L129" s="43"/>
      <c r="M129" s="2"/>
      <c r="N129" s="59"/>
      <c r="O129" s="54"/>
    </row>
    <row r="130" spans="2:15" s="16" customFormat="1" ht="19.5" customHeight="1" outlineLevel="1">
      <c r="B130" s="200" t="s">
        <v>100</v>
      </c>
      <c r="C130" s="41">
        <v>95747</v>
      </c>
      <c r="D130" s="41" t="s">
        <v>47</v>
      </c>
      <c r="E130" s="22" t="s">
        <v>152</v>
      </c>
      <c r="F130" s="41" t="s">
        <v>1</v>
      </c>
      <c r="G130" s="78">
        <v>13</v>
      </c>
      <c r="H130" s="103">
        <v>31.08</v>
      </c>
      <c r="I130" s="67">
        <f t="shared" si="11"/>
        <v>38.72568</v>
      </c>
      <c r="J130" s="186">
        <f t="shared" si="13"/>
        <v>503.43</v>
      </c>
      <c r="L130" s="43"/>
      <c r="M130" s="2"/>
      <c r="N130" s="59"/>
      <c r="O130" s="54"/>
    </row>
    <row r="131" spans="2:15" s="16" customFormat="1" ht="19.5" customHeight="1" outlineLevel="1">
      <c r="B131" s="200" t="s">
        <v>183</v>
      </c>
      <c r="C131" s="41">
        <v>95748</v>
      </c>
      <c r="D131" s="41" t="s">
        <v>47</v>
      </c>
      <c r="E131" s="22" t="s">
        <v>151</v>
      </c>
      <c r="F131" s="41" t="s">
        <v>1</v>
      </c>
      <c r="G131" s="78">
        <v>30</v>
      </c>
      <c r="H131" s="103">
        <v>33.59</v>
      </c>
      <c r="I131" s="67">
        <f t="shared" si="11"/>
        <v>41.85314</v>
      </c>
      <c r="J131" s="186">
        <f t="shared" si="13"/>
        <v>1255.59</v>
      </c>
      <c r="L131" s="43"/>
      <c r="M131" s="2"/>
      <c r="N131" s="59"/>
      <c r="O131" s="54"/>
    </row>
    <row r="132" spans="2:10" s="16" customFormat="1" ht="19.5" customHeight="1" outlineLevel="1">
      <c r="B132" s="200" t="s">
        <v>101</v>
      </c>
      <c r="C132" s="24">
        <v>92867</v>
      </c>
      <c r="D132" s="24" t="s">
        <v>47</v>
      </c>
      <c r="E132" s="22" t="s">
        <v>155</v>
      </c>
      <c r="F132" s="24" t="s">
        <v>2</v>
      </c>
      <c r="G132" s="69">
        <v>16</v>
      </c>
      <c r="H132" s="103">
        <v>19.12</v>
      </c>
      <c r="I132" s="67">
        <f t="shared" si="11"/>
        <v>23.823520000000002</v>
      </c>
      <c r="J132" s="186">
        <f t="shared" si="13"/>
        <v>381.18</v>
      </c>
    </row>
    <row r="133" spans="2:10" s="16" customFormat="1" ht="30" customHeight="1" outlineLevel="1">
      <c r="B133" s="200" t="s">
        <v>184</v>
      </c>
      <c r="C133" s="24">
        <v>92870</v>
      </c>
      <c r="D133" s="24" t="s">
        <v>47</v>
      </c>
      <c r="E133" s="22" t="s">
        <v>156</v>
      </c>
      <c r="F133" s="24" t="s">
        <v>2</v>
      </c>
      <c r="G133" s="69">
        <v>7</v>
      </c>
      <c r="H133" s="103">
        <v>22.96</v>
      </c>
      <c r="I133" s="67">
        <f t="shared" si="11"/>
        <v>28.60816</v>
      </c>
      <c r="J133" s="186">
        <f t="shared" si="13"/>
        <v>200.26</v>
      </c>
    </row>
    <row r="134" spans="2:10" s="16" customFormat="1" ht="19.5" customHeight="1" outlineLevel="1">
      <c r="B134" s="200" t="s">
        <v>102</v>
      </c>
      <c r="C134" s="24">
        <v>95795</v>
      </c>
      <c r="D134" s="24" t="s">
        <v>47</v>
      </c>
      <c r="E134" s="22" t="s">
        <v>205</v>
      </c>
      <c r="F134" s="24" t="s">
        <v>2</v>
      </c>
      <c r="G134" s="69">
        <v>5</v>
      </c>
      <c r="H134" s="103">
        <v>25.18</v>
      </c>
      <c r="I134" s="67">
        <f t="shared" si="11"/>
        <v>31.37428</v>
      </c>
      <c r="J134" s="186">
        <f t="shared" si="13"/>
        <v>156.87</v>
      </c>
    </row>
    <row r="135" spans="2:10" s="16" customFormat="1" ht="19.5" customHeight="1" outlineLevel="1">
      <c r="B135" s="200" t="s">
        <v>103</v>
      </c>
      <c r="C135" s="24">
        <v>95787</v>
      </c>
      <c r="D135" s="24" t="s">
        <v>47</v>
      </c>
      <c r="E135" s="22" t="s">
        <v>206</v>
      </c>
      <c r="F135" s="24" t="s">
        <v>2</v>
      </c>
      <c r="G135" s="69">
        <v>5</v>
      </c>
      <c r="H135" s="103">
        <v>21.84</v>
      </c>
      <c r="I135" s="67">
        <f t="shared" si="11"/>
        <v>27.21264</v>
      </c>
      <c r="J135" s="186">
        <f t="shared" si="13"/>
        <v>136.06</v>
      </c>
    </row>
    <row r="136" spans="2:10" s="16" customFormat="1" ht="19.5" customHeight="1" outlineLevel="1">
      <c r="B136" s="200" t="s">
        <v>317</v>
      </c>
      <c r="C136" s="24">
        <v>95795</v>
      </c>
      <c r="D136" s="24" t="s">
        <v>47</v>
      </c>
      <c r="E136" s="22" t="s">
        <v>207</v>
      </c>
      <c r="F136" s="24" t="s">
        <v>2</v>
      </c>
      <c r="G136" s="69">
        <v>4</v>
      </c>
      <c r="H136" s="103">
        <v>25.18</v>
      </c>
      <c r="I136" s="67">
        <f t="shared" si="11"/>
        <v>31.37428</v>
      </c>
      <c r="J136" s="186">
        <f t="shared" si="13"/>
        <v>125.5</v>
      </c>
    </row>
    <row r="137" spans="2:10" s="16" customFormat="1" ht="19.5" customHeight="1" outlineLevel="1">
      <c r="B137" s="200" t="s">
        <v>318</v>
      </c>
      <c r="C137" s="24">
        <v>95801</v>
      </c>
      <c r="D137" s="24" t="s">
        <v>47</v>
      </c>
      <c r="E137" s="22" t="s">
        <v>208</v>
      </c>
      <c r="F137" s="24" t="s">
        <v>2</v>
      </c>
      <c r="G137" s="69">
        <v>1</v>
      </c>
      <c r="H137" s="103">
        <v>30.34</v>
      </c>
      <c r="I137" s="67">
        <f t="shared" si="11"/>
        <v>37.80364</v>
      </c>
      <c r="J137" s="186">
        <f t="shared" si="13"/>
        <v>37.8</v>
      </c>
    </row>
    <row r="138" spans="2:10" s="16" customFormat="1" ht="19.5" customHeight="1" outlineLevel="1">
      <c r="B138" s="200" t="s">
        <v>319</v>
      </c>
      <c r="C138" s="24">
        <v>400</v>
      </c>
      <c r="D138" s="24" t="s">
        <v>216</v>
      </c>
      <c r="E138" s="22" t="s">
        <v>157</v>
      </c>
      <c r="F138" s="24" t="s">
        <v>2</v>
      </c>
      <c r="G138" s="69">
        <v>50</v>
      </c>
      <c r="H138" s="104">
        <v>0.95</v>
      </c>
      <c r="I138" s="67">
        <f t="shared" si="11"/>
        <v>1.1837</v>
      </c>
      <c r="J138" s="186">
        <f t="shared" si="13"/>
        <v>59.19</v>
      </c>
    </row>
    <row r="139" spans="2:10" s="16" customFormat="1" ht="19.5" customHeight="1" outlineLevel="1">
      <c r="B139" s="200" t="s">
        <v>320</v>
      </c>
      <c r="C139" s="24">
        <v>392</v>
      </c>
      <c r="D139" s="24" t="s">
        <v>216</v>
      </c>
      <c r="E139" s="22" t="s">
        <v>158</v>
      </c>
      <c r="F139" s="24" t="s">
        <v>2</v>
      </c>
      <c r="G139" s="69">
        <v>4</v>
      </c>
      <c r="H139" s="104">
        <v>0.92</v>
      </c>
      <c r="I139" s="67">
        <f t="shared" si="11"/>
        <v>1.14632</v>
      </c>
      <c r="J139" s="186">
        <f t="shared" si="13"/>
        <v>4.59</v>
      </c>
    </row>
    <row r="140" spans="2:10" s="16" customFormat="1" ht="19.5" customHeight="1" outlineLevel="1">
      <c r="B140" s="200" t="s">
        <v>321</v>
      </c>
      <c r="C140" s="24">
        <v>394</v>
      </c>
      <c r="D140" s="24" t="s">
        <v>216</v>
      </c>
      <c r="E140" s="22" t="s">
        <v>159</v>
      </c>
      <c r="F140" s="24" t="s">
        <v>2</v>
      </c>
      <c r="G140" s="69">
        <v>4</v>
      </c>
      <c r="H140" s="104">
        <v>1.89</v>
      </c>
      <c r="I140" s="67">
        <f t="shared" si="11"/>
        <v>2.35494</v>
      </c>
      <c r="J140" s="186">
        <f t="shared" si="13"/>
        <v>9.42</v>
      </c>
    </row>
    <row r="141" spans="2:10" s="16" customFormat="1" ht="19.5" customHeight="1" outlineLevel="1">
      <c r="B141" s="200" t="s">
        <v>322</v>
      </c>
      <c r="C141" s="24">
        <v>3909</v>
      </c>
      <c r="D141" s="24" t="s">
        <v>216</v>
      </c>
      <c r="E141" s="22" t="s">
        <v>185</v>
      </c>
      <c r="F141" s="24" t="s">
        <v>2</v>
      </c>
      <c r="G141" s="69">
        <v>15</v>
      </c>
      <c r="H141" s="104">
        <v>4.92</v>
      </c>
      <c r="I141" s="67">
        <f t="shared" si="11"/>
        <v>6.13032</v>
      </c>
      <c r="J141" s="186">
        <f t="shared" si="13"/>
        <v>91.95</v>
      </c>
    </row>
    <row r="142" spans="2:10" s="16" customFormat="1" ht="19.5" customHeight="1" outlineLevel="1">
      <c r="B142" s="200" t="s">
        <v>323</v>
      </c>
      <c r="C142" s="24">
        <v>3910</v>
      </c>
      <c r="D142" s="24" t="s">
        <v>216</v>
      </c>
      <c r="E142" s="22" t="s">
        <v>186</v>
      </c>
      <c r="F142" s="24" t="s">
        <v>2</v>
      </c>
      <c r="G142" s="69">
        <v>2</v>
      </c>
      <c r="H142" s="104">
        <v>7.19</v>
      </c>
      <c r="I142" s="67">
        <f t="shared" si="11"/>
        <v>8.95874</v>
      </c>
      <c r="J142" s="186">
        <f t="shared" si="13"/>
        <v>17.92</v>
      </c>
    </row>
    <row r="143" spans="2:10" s="16" customFormat="1" ht="19.5" customHeight="1" outlineLevel="1">
      <c r="B143" s="200" t="s">
        <v>324</v>
      </c>
      <c r="C143" s="24">
        <v>3939</v>
      </c>
      <c r="D143" s="24" t="s">
        <v>216</v>
      </c>
      <c r="E143" s="22" t="s">
        <v>187</v>
      </c>
      <c r="F143" s="24" t="s">
        <v>2</v>
      </c>
      <c r="G143" s="69">
        <v>1</v>
      </c>
      <c r="H143" s="104">
        <v>12.91</v>
      </c>
      <c r="I143" s="67">
        <f t="shared" si="11"/>
        <v>16.08586</v>
      </c>
      <c r="J143" s="186">
        <f t="shared" si="13"/>
        <v>16.09</v>
      </c>
    </row>
    <row r="144" spans="2:10" s="16" customFormat="1" ht="19.5" customHeight="1" outlineLevel="1">
      <c r="B144" s="200" t="s">
        <v>325</v>
      </c>
      <c r="C144" s="24">
        <v>779</v>
      </c>
      <c r="D144" s="24" t="s">
        <v>216</v>
      </c>
      <c r="E144" s="22" t="s">
        <v>188</v>
      </c>
      <c r="F144" s="24" t="s">
        <v>128</v>
      </c>
      <c r="G144" s="69">
        <v>15</v>
      </c>
      <c r="H144" s="104">
        <v>3.7</v>
      </c>
      <c r="I144" s="67">
        <f t="shared" si="11"/>
        <v>4.6102</v>
      </c>
      <c r="J144" s="186">
        <f t="shared" si="13"/>
        <v>69.15</v>
      </c>
    </row>
    <row r="145" spans="2:10" s="16" customFormat="1" ht="19.5" customHeight="1" outlineLevel="1">
      <c r="B145" s="200" t="s">
        <v>326</v>
      </c>
      <c r="C145" s="24">
        <v>765</v>
      </c>
      <c r="D145" s="24" t="s">
        <v>216</v>
      </c>
      <c r="E145" s="22" t="s">
        <v>189</v>
      </c>
      <c r="F145" s="24" t="s">
        <v>128</v>
      </c>
      <c r="G145" s="69">
        <v>2</v>
      </c>
      <c r="H145" s="104">
        <v>5.37</v>
      </c>
      <c r="I145" s="67">
        <f t="shared" si="11"/>
        <v>6.69102</v>
      </c>
      <c r="J145" s="186">
        <f t="shared" si="13"/>
        <v>13.38</v>
      </c>
    </row>
    <row r="146" spans="2:10" s="16" customFormat="1" ht="19.5" customHeight="1" outlineLevel="1">
      <c r="B146" s="200" t="s">
        <v>327</v>
      </c>
      <c r="C146" s="24">
        <v>791</v>
      </c>
      <c r="D146" s="24" t="s">
        <v>216</v>
      </c>
      <c r="E146" s="22" t="s">
        <v>190</v>
      </c>
      <c r="F146" s="24" t="s">
        <v>128</v>
      </c>
      <c r="G146" s="69">
        <v>1</v>
      </c>
      <c r="H146" s="104">
        <v>11.1</v>
      </c>
      <c r="I146" s="67">
        <f t="shared" si="11"/>
        <v>13.830599999999999</v>
      </c>
      <c r="J146" s="186">
        <f t="shared" si="13"/>
        <v>13.83</v>
      </c>
    </row>
    <row r="147" spans="2:10" s="16" customFormat="1" ht="19.5" customHeight="1" outlineLevel="1">
      <c r="B147" s="199"/>
      <c r="C147" s="52"/>
      <c r="D147" s="52"/>
      <c r="E147" s="45" t="s">
        <v>88</v>
      </c>
      <c r="F147" s="41"/>
      <c r="G147" s="73"/>
      <c r="H147" s="103"/>
      <c r="I147" s="67"/>
      <c r="J147" s="186"/>
    </row>
    <row r="148" spans="2:10" s="16" customFormat="1" ht="42" customHeight="1" outlineLevel="1">
      <c r="B148" s="199"/>
      <c r="C148" s="52"/>
      <c r="D148" s="52"/>
      <c r="E148" s="22" t="s">
        <v>89</v>
      </c>
      <c r="F148" s="41"/>
      <c r="G148" s="78"/>
      <c r="H148" s="103"/>
      <c r="I148" s="67"/>
      <c r="J148" s="186"/>
    </row>
    <row r="149" spans="2:10" s="16" customFormat="1" ht="19.5" customHeight="1" outlineLevel="1">
      <c r="B149" s="200" t="s">
        <v>328</v>
      </c>
      <c r="C149" s="41">
        <v>91926</v>
      </c>
      <c r="D149" s="24" t="s">
        <v>47</v>
      </c>
      <c r="E149" s="22" t="s">
        <v>90</v>
      </c>
      <c r="F149" s="41" t="s">
        <v>1</v>
      </c>
      <c r="G149" s="78">
        <v>190</v>
      </c>
      <c r="H149" s="170">
        <v>2.65</v>
      </c>
      <c r="I149" s="67">
        <f t="shared" si="11"/>
        <v>3.3019</v>
      </c>
      <c r="J149" s="186">
        <f>ROUND(G149*I149,2)</f>
        <v>627.36</v>
      </c>
    </row>
    <row r="150" spans="2:10" s="16" customFormat="1" ht="19.5" customHeight="1" outlineLevel="1">
      <c r="B150" s="200" t="s">
        <v>329</v>
      </c>
      <c r="C150" s="41">
        <v>91928</v>
      </c>
      <c r="D150" s="41" t="s">
        <v>47</v>
      </c>
      <c r="E150" s="22" t="s">
        <v>144</v>
      </c>
      <c r="F150" s="41" t="s">
        <v>1</v>
      </c>
      <c r="G150" s="78">
        <v>820</v>
      </c>
      <c r="H150" s="170">
        <v>4.28</v>
      </c>
      <c r="I150" s="67">
        <f t="shared" si="11"/>
        <v>5.33288</v>
      </c>
      <c r="J150" s="186">
        <f>ROUND(G150*I150,2)</f>
        <v>4372.96</v>
      </c>
    </row>
    <row r="151" spans="2:10" s="16" customFormat="1" ht="19.5" customHeight="1" outlineLevel="1">
      <c r="B151" s="200" t="s">
        <v>330</v>
      </c>
      <c r="C151" s="41">
        <v>91934</v>
      </c>
      <c r="D151" s="41" t="s">
        <v>47</v>
      </c>
      <c r="E151" s="22" t="s">
        <v>145</v>
      </c>
      <c r="F151" s="41" t="s">
        <v>1</v>
      </c>
      <c r="G151" s="78">
        <v>14</v>
      </c>
      <c r="H151" s="170">
        <v>14.64</v>
      </c>
      <c r="I151" s="67">
        <f t="shared" si="11"/>
        <v>18.24144</v>
      </c>
      <c r="J151" s="186">
        <f>ROUND(G151*I151,2)</f>
        <v>255.38</v>
      </c>
    </row>
    <row r="152" spans="2:10" s="16" customFormat="1" ht="19.5" customHeight="1" outlineLevel="1">
      <c r="B152" s="200" t="s">
        <v>331</v>
      </c>
      <c r="C152" s="41">
        <v>92985</v>
      </c>
      <c r="D152" s="41" t="s">
        <v>47</v>
      </c>
      <c r="E152" s="22" t="s">
        <v>143</v>
      </c>
      <c r="F152" s="41" t="s">
        <v>1</v>
      </c>
      <c r="G152" s="78">
        <v>41</v>
      </c>
      <c r="H152" s="170">
        <v>22.64</v>
      </c>
      <c r="I152" s="67">
        <f t="shared" si="11"/>
        <v>28.20944</v>
      </c>
      <c r="J152" s="186">
        <f>ROUND(G152*I152,2)</f>
        <v>1156.59</v>
      </c>
    </row>
    <row r="153" spans="2:10" s="16" customFormat="1" ht="19.5" customHeight="1" outlineLevel="1">
      <c r="B153" s="200"/>
      <c r="C153" s="52"/>
      <c r="D153" s="52"/>
      <c r="E153" s="45" t="s">
        <v>91</v>
      </c>
      <c r="F153" s="41"/>
      <c r="G153" s="73"/>
      <c r="H153" s="103"/>
      <c r="I153" s="67"/>
      <c r="J153" s="186"/>
    </row>
    <row r="154" spans="2:10" s="16" customFormat="1" ht="19.5" customHeight="1" outlineLevel="1">
      <c r="B154" s="200" t="s">
        <v>332</v>
      </c>
      <c r="C154" s="41">
        <v>92001</v>
      </c>
      <c r="D154" s="41" t="s">
        <v>47</v>
      </c>
      <c r="E154" s="22" t="s">
        <v>127</v>
      </c>
      <c r="F154" s="41" t="s">
        <v>2</v>
      </c>
      <c r="G154" s="73">
        <v>4</v>
      </c>
      <c r="H154" s="103">
        <v>22.9</v>
      </c>
      <c r="I154" s="67">
        <f t="shared" si="11"/>
        <v>28.533399999999997</v>
      </c>
      <c r="J154" s="186">
        <f aca="true" t="shared" si="14" ref="J154:J159">ROUND(G154*I154,2)</f>
        <v>114.13</v>
      </c>
    </row>
    <row r="155" spans="2:10" s="16" customFormat="1" ht="19.5" customHeight="1" outlineLevel="1">
      <c r="B155" s="200" t="s">
        <v>333</v>
      </c>
      <c r="C155" s="41">
        <v>92001</v>
      </c>
      <c r="D155" s="41" t="s">
        <v>47</v>
      </c>
      <c r="E155" s="22" t="s">
        <v>120</v>
      </c>
      <c r="F155" s="41" t="s">
        <v>2</v>
      </c>
      <c r="G155" s="73">
        <v>1</v>
      </c>
      <c r="H155" s="103">
        <f>H154</f>
        <v>22.9</v>
      </c>
      <c r="I155" s="67">
        <f t="shared" si="11"/>
        <v>28.533399999999997</v>
      </c>
      <c r="J155" s="186">
        <f t="shared" si="14"/>
        <v>28.53</v>
      </c>
    </row>
    <row r="156" spans="2:10" s="16" customFormat="1" ht="19.5" customHeight="1" outlineLevel="1">
      <c r="B156" s="200" t="s">
        <v>334</v>
      </c>
      <c r="C156" s="24">
        <v>91953</v>
      </c>
      <c r="D156" s="41" t="s">
        <v>47</v>
      </c>
      <c r="E156" s="22" t="s">
        <v>92</v>
      </c>
      <c r="F156" s="41" t="s">
        <v>2</v>
      </c>
      <c r="G156" s="73">
        <v>7</v>
      </c>
      <c r="H156" s="103">
        <v>19.83</v>
      </c>
      <c r="I156" s="67">
        <f t="shared" si="11"/>
        <v>24.70818</v>
      </c>
      <c r="J156" s="186">
        <f t="shared" si="14"/>
        <v>172.96</v>
      </c>
    </row>
    <row r="157" spans="2:11" s="16" customFormat="1" ht="37.5" customHeight="1" outlineLevel="1">
      <c r="B157" s="200" t="s">
        <v>335</v>
      </c>
      <c r="C157" s="24">
        <v>97586</v>
      </c>
      <c r="D157" s="24" t="s">
        <v>47</v>
      </c>
      <c r="E157" s="22" t="s">
        <v>289</v>
      </c>
      <c r="F157" s="24" t="s">
        <v>2</v>
      </c>
      <c r="G157" s="73">
        <v>6</v>
      </c>
      <c r="H157" s="170">
        <v>91.61</v>
      </c>
      <c r="I157" s="67">
        <f t="shared" si="11"/>
        <v>114.14606</v>
      </c>
      <c r="J157" s="186">
        <f t="shared" si="14"/>
        <v>684.88</v>
      </c>
      <c r="K157" s="16" t="s">
        <v>290</v>
      </c>
    </row>
    <row r="158" spans="2:10" s="16" customFormat="1" ht="39.75" customHeight="1" outlineLevel="1">
      <c r="B158" s="200" t="s">
        <v>336</v>
      </c>
      <c r="C158" s="24">
        <v>97584</v>
      </c>
      <c r="D158" s="24" t="s">
        <v>47</v>
      </c>
      <c r="E158" s="22" t="s">
        <v>291</v>
      </c>
      <c r="F158" s="24" t="s">
        <v>2</v>
      </c>
      <c r="G158" s="73">
        <v>1</v>
      </c>
      <c r="H158" s="170">
        <v>69.54</v>
      </c>
      <c r="I158" s="67">
        <f t="shared" si="11"/>
        <v>86.64684000000001</v>
      </c>
      <c r="J158" s="186">
        <f t="shared" si="14"/>
        <v>86.65</v>
      </c>
    </row>
    <row r="159" spans="2:10" s="16" customFormat="1" ht="30" customHeight="1" outlineLevel="1">
      <c r="B159" s="200" t="s">
        <v>337</v>
      </c>
      <c r="C159" s="98">
        <v>101666</v>
      </c>
      <c r="D159" s="24" t="s">
        <v>47</v>
      </c>
      <c r="E159" s="13" t="s">
        <v>292</v>
      </c>
      <c r="F159" s="24" t="s">
        <v>2</v>
      </c>
      <c r="G159" s="83">
        <v>20</v>
      </c>
      <c r="H159" s="170">
        <f>L9*242.97</f>
        <v>182.2275</v>
      </c>
      <c r="I159" s="67">
        <f t="shared" si="11"/>
        <v>227.055465</v>
      </c>
      <c r="J159" s="186">
        <f t="shared" si="14"/>
        <v>4541.11</v>
      </c>
    </row>
    <row r="160" spans="2:10" ht="19.5" customHeight="1" outlineLevel="1">
      <c r="B160" s="252" t="s">
        <v>272</v>
      </c>
      <c r="C160" s="253"/>
      <c r="D160" s="253"/>
      <c r="E160" s="253"/>
      <c r="F160" s="253"/>
      <c r="G160" s="253"/>
      <c r="H160" s="20"/>
      <c r="I160" s="20"/>
      <c r="J160" s="187">
        <f>SUM(J119:J159)</f>
        <v>20507.109999999997</v>
      </c>
    </row>
    <row r="161" spans="2:10" ht="19.5" customHeight="1">
      <c r="B161" s="183">
        <v>13</v>
      </c>
      <c r="C161" s="110"/>
      <c r="D161" s="110"/>
      <c r="E161" s="111" t="s">
        <v>68</v>
      </c>
      <c r="F161" s="111"/>
      <c r="G161" s="112"/>
      <c r="H161" s="113"/>
      <c r="I161" s="114"/>
      <c r="J161" s="184">
        <f>J168</f>
        <v>2295.83</v>
      </c>
    </row>
    <row r="162" spans="2:10" ht="19.5" customHeight="1" outlineLevel="1">
      <c r="B162" s="200" t="s">
        <v>104</v>
      </c>
      <c r="C162" s="24">
        <v>171470</v>
      </c>
      <c r="D162" s="49" t="s">
        <v>47</v>
      </c>
      <c r="E162" s="22" t="s">
        <v>160</v>
      </c>
      <c r="F162" s="15" t="s">
        <v>2</v>
      </c>
      <c r="G162" s="70">
        <v>5</v>
      </c>
      <c r="H162" s="170">
        <v>67.37</v>
      </c>
      <c r="I162" s="67">
        <f aca="true" t="shared" si="15" ref="I162:I167">H162*$L$8</f>
        <v>83.94302</v>
      </c>
      <c r="J162" s="186">
        <f aca="true" t="shared" si="16" ref="J162:J167">ROUND(G162*I162,2)</f>
        <v>419.72</v>
      </c>
    </row>
    <row r="163" spans="2:10" ht="19.5" customHeight="1" outlineLevel="1">
      <c r="B163" s="200" t="s">
        <v>105</v>
      </c>
      <c r="C163" s="24">
        <v>39862</v>
      </c>
      <c r="D163" s="49" t="s">
        <v>216</v>
      </c>
      <c r="E163" s="22" t="s">
        <v>161</v>
      </c>
      <c r="F163" s="15" t="s">
        <v>2</v>
      </c>
      <c r="G163" s="70">
        <v>12</v>
      </c>
      <c r="H163" s="170">
        <v>9.73</v>
      </c>
      <c r="I163" s="67">
        <f t="shared" si="15"/>
        <v>12.12358</v>
      </c>
      <c r="J163" s="186">
        <f t="shared" si="16"/>
        <v>145.48</v>
      </c>
    </row>
    <row r="164" spans="2:10" ht="19.5" customHeight="1" outlineLevel="1">
      <c r="B164" s="200" t="s">
        <v>106</v>
      </c>
      <c r="C164" s="24">
        <v>96973</v>
      </c>
      <c r="D164" s="49" t="s">
        <v>47</v>
      </c>
      <c r="E164" s="22" t="s">
        <v>162</v>
      </c>
      <c r="F164" s="97" t="s">
        <v>1</v>
      </c>
      <c r="G164" s="70">
        <v>20</v>
      </c>
      <c r="H164" s="170">
        <v>38.69</v>
      </c>
      <c r="I164" s="67">
        <f t="shared" si="15"/>
        <v>48.207739999999994</v>
      </c>
      <c r="J164" s="186">
        <f t="shared" si="16"/>
        <v>964.15</v>
      </c>
    </row>
    <row r="165" spans="2:10" ht="19.5" customHeight="1" outlineLevel="1">
      <c r="B165" s="200" t="s">
        <v>40</v>
      </c>
      <c r="C165" s="24">
        <v>93009</v>
      </c>
      <c r="D165" s="49" t="s">
        <v>47</v>
      </c>
      <c r="E165" s="22" t="s">
        <v>293</v>
      </c>
      <c r="F165" s="97" t="s">
        <v>1</v>
      </c>
      <c r="G165" s="70">
        <v>15</v>
      </c>
      <c r="H165" s="170">
        <v>14.45</v>
      </c>
      <c r="I165" s="67">
        <f t="shared" si="15"/>
        <v>18.0047</v>
      </c>
      <c r="J165" s="186">
        <f t="shared" si="16"/>
        <v>270.07</v>
      </c>
    </row>
    <row r="166" spans="2:10" ht="19.5" customHeight="1" outlineLevel="1">
      <c r="B166" s="200" t="s">
        <v>41</v>
      </c>
      <c r="C166" s="24">
        <v>1542</v>
      </c>
      <c r="D166" s="49" t="s">
        <v>216</v>
      </c>
      <c r="E166" s="96" t="s">
        <v>163</v>
      </c>
      <c r="F166" s="15" t="s">
        <v>2</v>
      </c>
      <c r="G166" s="70">
        <v>5</v>
      </c>
      <c r="H166" s="170">
        <v>14.26</v>
      </c>
      <c r="I166" s="67">
        <f t="shared" si="15"/>
        <v>17.76796</v>
      </c>
      <c r="J166" s="186">
        <f t="shared" si="16"/>
        <v>88.84</v>
      </c>
    </row>
    <row r="167" spans="2:10" ht="19.5" customHeight="1" outlineLevel="1">
      <c r="B167" s="200" t="s">
        <v>305</v>
      </c>
      <c r="C167" s="24">
        <v>96985</v>
      </c>
      <c r="D167" s="49" t="s">
        <v>47</v>
      </c>
      <c r="E167" s="96" t="s">
        <v>209</v>
      </c>
      <c r="F167" s="15" t="s">
        <v>2</v>
      </c>
      <c r="G167" s="70">
        <v>5</v>
      </c>
      <c r="H167" s="170">
        <v>65.42</v>
      </c>
      <c r="I167" s="67">
        <f t="shared" si="15"/>
        <v>81.51332000000001</v>
      </c>
      <c r="J167" s="186">
        <f t="shared" si="16"/>
        <v>407.57</v>
      </c>
    </row>
    <row r="168" spans="2:10" ht="19.5" customHeight="1" outlineLevel="1">
      <c r="B168" s="252" t="s">
        <v>275</v>
      </c>
      <c r="C168" s="253"/>
      <c r="D168" s="253"/>
      <c r="E168" s="253"/>
      <c r="F168" s="253"/>
      <c r="G168" s="253"/>
      <c r="H168" s="20"/>
      <c r="I168" s="46"/>
      <c r="J168" s="196">
        <f>SUM(J162:J167)</f>
        <v>2295.83</v>
      </c>
    </row>
    <row r="169" spans="2:10" ht="19.5" customHeight="1">
      <c r="B169" s="183">
        <v>14</v>
      </c>
      <c r="C169" s="110"/>
      <c r="D169" s="110"/>
      <c r="E169" s="111" t="s">
        <v>71</v>
      </c>
      <c r="F169" s="111"/>
      <c r="G169" s="112"/>
      <c r="H169" s="113"/>
      <c r="I169" s="114"/>
      <c r="J169" s="184">
        <f>J174</f>
        <v>35143.34</v>
      </c>
    </row>
    <row r="170" spans="2:10" ht="19.5" customHeight="1" outlineLevel="1">
      <c r="B170" s="190" t="s">
        <v>29</v>
      </c>
      <c r="C170" s="31">
        <v>110653</v>
      </c>
      <c r="D170" s="27" t="s">
        <v>215</v>
      </c>
      <c r="E170" s="28" t="s">
        <v>58</v>
      </c>
      <c r="F170" s="5" t="s">
        <v>5</v>
      </c>
      <c r="G170" s="69">
        <v>2.5</v>
      </c>
      <c r="H170" s="103">
        <v>371.02</v>
      </c>
      <c r="I170" s="67">
        <f>H170*$L$8</f>
        <v>462.29091999999997</v>
      </c>
      <c r="J170" s="186">
        <f>ROUND(G170*I170,2)</f>
        <v>1155.73</v>
      </c>
    </row>
    <row r="171" spans="2:21" ht="19.5" customHeight="1" outlineLevel="1">
      <c r="B171" s="190" t="s">
        <v>107</v>
      </c>
      <c r="C171" s="19">
        <v>250610</v>
      </c>
      <c r="D171" s="27" t="s">
        <v>215</v>
      </c>
      <c r="E171" s="22" t="s">
        <v>223</v>
      </c>
      <c r="F171" s="17" t="s">
        <v>128</v>
      </c>
      <c r="G171" s="68">
        <v>1</v>
      </c>
      <c r="H171" s="121">
        <f>L9*11985.75</f>
        <v>8989.3125</v>
      </c>
      <c r="I171" s="67">
        <f>H171*$L$8</f>
        <v>11200.683375</v>
      </c>
      <c r="J171" s="186">
        <f>ROUND(G171*I171,2)</f>
        <v>11200.68</v>
      </c>
      <c r="Q171" s="84"/>
      <c r="R171" s="85"/>
      <c r="S171" s="86"/>
      <c r="T171" s="86"/>
      <c r="U171" s="87"/>
    </row>
    <row r="172" spans="2:21" ht="19.5" customHeight="1" outlineLevel="1">
      <c r="B172" s="190" t="s">
        <v>276</v>
      </c>
      <c r="C172" s="19">
        <v>99855</v>
      </c>
      <c r="D172" s="19" t="s">
        <v>47</v>
      </c>
      <c r="E172" s="22" t="s">
        <v>191</v>
      </c>
      <c r="F172" s="17" t="s">
        <v>1</v>
      </c>
      <c r="G172" s="68">
        <v>9.6</v>
      </c>
      <c r="H172" s="103">
        <v>84.11</v>
      </c>
      <c r="I172" s="67">
        <f>H172*$L$8</f>
        <v>104.80105999999999</v>
      </c>
      <c r="J172" s="186">
        <f>ROUND(G172*I172,2)</f>
        <v>1006.09</v>
      </c>
      <c r="L172" s="88"/>
      <c r="M172" s="89"/>
      <c r="N172" s="90"/>
      <c r="O172" s="91"/>
      <c r="P172" s="84"/>
      <c r="Q172" s="84"/>
      <c r="R172" s="85"/>
      <c r="S172" s="86"/>
      <c r="T172" s="86"/>
      <c r="U172" s="87"/>
    </row>
    <row r="173" spans="2:21" ht="30" customHeight="1" outlineLevel="1">
      <c r="B173" s="190" t="s">
        <v>277</v>
      </c>
      <c r="C173" s="19" t="s">
        <v>111</v>
      </c>
      <c r="D173" s="19" t="s">
        <v>47</v>
      </c>
      <c r="E173" s="22" t="s">
        <v>210</v>
      </c>
      <c r="F173" s="5" t="s">
        <v>5</v>
      </c>
      <c r="G173" s="68">
        <v>154.15</v>
      </c>
      <c r="H173" s="104">
        <f>L9*151.2</f>
        <v>113.39999999999999</v>
      </c>
      <c r="I173" s="67">
        <f>H173*$L$8</f>
        <v>141.29639999999998</v>
      </c>
      <c r="J173" s="186">
        <f>ROUND(G173*I173,2)</f>
        <v>21780.84</v>
      </c>
      <c r="L173" s="88"/>
      <c r="M173" s="89"/>
      <c r="N173" s="90"/>
      <c r="O173" s="91"/>
      <c r="P173" s="84"/>
      <c r="Q173" s="84"/>
      <c r="R173" s="85"/>
      <c r="S173" s="86"/>
      <c r="T173" s="86"/>
      <c r="U173" s="87"/>
    </row>
    <row r="174" spans="2:10" ht="19.5" customHeight="1" outlineLevel="1" thickBot="1">
      <c r="B174" s="252" t="s">
        <v>377</v>
      </c>
      <c r="C174" s="253"/>
      <c r="D174" s="253"/>
      <c r="E174" s="253"/>
      <c r="F174" s="253"/>
      <c r="G174" s="253"/>
      <c r="H174" s="20"/>
      <c r="I174" s="20"/>
      <c r="J174" s="187">
        <f>SUM(J170:J173)</f>
        <v>35143.34</v>
      </c>
    </row>
    <row r="175" spans="2:10" ht="19.5" customHeight="1" thickBot="1">
      <c r="B175" s="266" t="s">
        <v>43</v>
      </c>
      <c r="C175" s="267"/>
      <c r="D175" s="267"/>
      <c r="E175" s="268"/>
      <c r="F175" s="268"/>
      <c r="G175" s="268"/>
      <c r="H175" s="201"/>
      <c r="I175" s="202"/>
      <c r="J175" s="203">
        <f>J168+J160+J116+J109+J88+J77+J61+J52+J40+J29+J26+J14+J174+J92</f>
        <v>223151.79</v>
      </c>
    </row>
    <row r="176" spans="2:10" ht="19.5" customHeight="1">
      <c r="B176" s="164"/>
      <c r="C176" s="164"/>
      <c r="D176" s="164"/>
      <c r="E176" s="122"/>
      <c r="F176" s="122"/>
      <c r="G176" s="122"/>
      <c r="H176" s="165"/>
      <c r="I176" s="79"/>
      <c r="J176" s="79"/>
    </row>
    <row r="177" spans="2:10" ht="19.5" customHeight="1" thickBot="1">
      <c r="B177" s="8"/>
      <c r="C177" s="8"/>
      <c r="D177" s="8"/>
      <c r="E177" s="123"/>
      <c r="F177" s="8"/>
      <c r="G177" s="76"/>
      <c r="H177" s="76"/>
      <c r="I177" s="76"/>
      <c r="J177" s="79"/>
    </row>
    <row r="178" spans="2:7" ht="12.75" customHeight="1">
      <c r="B178" s="269" t="s">
        <v>139</v>
      </c>
      <c r="C178" s="270"/>
      <c r="D178" s="270"/>
      <c r="E178" s="270"/>
      <c r="F178" s="270"/>
      <c r="G178" s="271"/>
    </row>
    <row r="179" spans="2:7" ht="12.75">
      <c r="B179" s="272"/>
      <c r="C179" s="273"/>
      <c r="D179" s="273"/>
      <c r="E179" s="273"/>
      <c r="F179" s="273"/>
      <c r="G179" s="274"/>
    </row>
    <row r="180" spans="2:7" ht="12.75">
      <c r="B180" s="272"/>
      <c r="C180" s="273"/>
      <c r="D180" s="273"/>
      <c r="E180" s="273"/>
      <c r="F180" s="273"/>
      <c r="G180" s="274"/>
    </row>
    <row r="181" spans="2:7" ht="12.75">
      <c r="B181" s="272"/>
      <c r="C181" s="273"/>
      <c r="D181" s="273"/>
      <c r="E181" s="273"/>
      <c r="F181" s="273"/>
      <c r="G181" s="274"/>
    </row>
    <row r="182" spans="2:7" ht="12.75">
      <c r="B182" s="272"/>
      <c r="C182" s="273"/>
      <c r="D182" s="273"/>
      <c r="E182" s="273"/>
      <c r="F182" s="273"/>
      <c r="G182" s="274"/>
    </row>
    <row r="183" spans="2:7" ht="12.75">
      <c r="B183" s="260" t="s">
        <v>75</v>
      </c>
      <c r="C183" s="261"/>
      <c r="D183" s="261"/>
      <c r="E183" s="261"/>
      <c r="F183" s="261"/>
      <c r="G183" s="262"/>
    </row>
    <row r="184" spans="2:7" ht="12.75">
      <c r="B184" s="260"/>
      <c r="C184" s="261"/>
      <c r="D184" s="261"/>
      <c r="E184" s="261"/>
      <c r="F184" s="261"/>
      <c r="G184" s="262"/>
    </row>
    <row r="185" spans="1:14" s="80" customFormat="1" ht="12.75">
      <c r="A185" s="6"/>
      <c r="B185" s="260" t="s">
        <v>76</v>
      </c>
      <c r="C185" s="261"/>
      <c r="D185" s="261"/>
      <c r="E185" s="261"/>
      <c r="F185" s="261"/>
      <c r="G185" s="262"/>
      <c r="J185" s="61"/>
      <c r="K185" s="6"/>
      <c r="L185" s="6"/>
      <c r="M185" s="6"/>
      <c r="N185" s="6"/>
    </row>
    <row r="186" spans="1:14" s="80" customFormat="1" ht="13.5" thickBot="1">
      <c r="A186" s="6"/>
      <c r="B186" s="263"/>
      <c r="C186" s="264"/>
      <c r="D186" s="264"/>
      <c r="E186" s="264"/>
      <c r="F186" s="264"/>
      <c r="G186" s="265"/>
      <c r="J186" s="61"/>
      <c r="K186" s="6"/>
      <c r="L186" s="6"/>
      <c r="M186" s="6"/>
      <c r="N186" s="6"/>
    </row>
    <row r="217" spans="9:10" ht="12.75">
      <c r="I217" s="6"/>
      <c r="J217" s="6"/>
    </row>
    <row r="218" spans="9:10" ht="12.75">
      <c r="I218" s="6"/>
      <c r="J218" s="6"/>
    </row>
    <row r="219" spans="9:10" ht="12.75">
      <c r="I219" s="6"/>
      <c r="J219" s="6"/>
    </row>
    <row r="220" spans="9:10" ht="12.75">
      <c r="I220" s="6"/>
      <c r="J220" s="6"/>
    </row>
    <row r="221" spans="9:10" ht="12.75">
      <c r="I221" s="6"/>
      <c r="J221" s="6"/>
    </row>
    <row r="222" spans="9:10" ht="12.75">
      <c r="I222" s="6"/>
      <c r="J222" s="6"/>
    </row>
    <row r="223" spans="9:10" ht="12.75">
      <c r="I223" s="6"/>
      <c r="J223" s="6"/>
    </row>
  </sheetData>
  <sheetProtection/>
  <mergeCells count="22">
    <mergeCell ref="B109:G109"/>
    <mergeCell ref="B116:G116"/>
    <mergeCell ref="B92:G92"/>
    <mergeCell ref="B183:G184"/>
    <mergeCell ref="B185:G186"/>
    <mergeCell ref="B160:G160"/>
    <mergeCell ref="B168:G168"/>
    <mergeCell ref="B174:G174"/>
    <mergeCell ref="B175:G175"/>
    <mergeCell ref="B178:G182"/>
    <mergeCell ref="B29:G29"/>
    <mergeCell ref="B40:G40"/>
    <mergeCell ref="B52:G52"/>
    <mergeCell ref="B61:G61"/>
    <mergeCell ref="B77:G77"/>
    <mergeCell ref="B88:G88"/>
    <mergeCell ref="A1:J3"/>
    <mergeCell ref="B14:G14"/>
    <mergeCell ref="H4:J6"/>
    <mergeCell ref="B8:I8"/>
    <mergeCell ref="B5:E5"/>
    <mergeCell ref="B26:G26"/>
  </mergeCells>
  <conditionalFormatting sqref="G162:G167 G111:G115 G10 G148:G158 G174:I174 G109:I109 G14:I14 G77:I77 G88:I88 G168:H168 G116:H116 G92:I92">
    <cfRule type="cellIs" priority="161" dxfId="9" operator="equal" stopIfTrue="1">
      <formula>0</formula>
    </cfRule>
  </conditionalFormatting>
  <conditionalFormatting sqref="I116">
    <cfRule type="cellIs" priority="157" dxfId="9" operator="equal" stopIfTrue="1">
      <formula>0</formula>
    </cfRule>
  </conditionalFormatting>
  <conditionalFormatting sqref="I168">
    <cfRule type="cellIs" priority="156" dxfId="9" operator="equal" stopIfTrue="1">
      <formula>0</formula>
    </cfRule>
  </conditionalFormatting>
  <conditionalFormatting sqref="H54:H60 H90:H91 H13 H95:H108 H119:H159 H170:H173 T171:T173 H17:H25 H28 H31:H39 H42:H44 H63:H76 H79:H87">
    <cfRule type="containsText" priority="150" dxfId="2" operator="containsText" text="#N/D">
      <formula>NOT(ISERROR(SEARCH("#N/D",H13)))</formula>
    </cfRule>
    <cfRule type="containsErrors" priority="151" dxfId="1">
      <formula>ISERROR(H13)</formula>
    </cfRule>
  </conditionalFormatting>
  <conditionalFormatting sqref="H54:H60 H90:H91 H13 H95:H108 H119:H159 H170:H173 T171:T173 H17:H25 H28 H31:H39 H42:H44 H63:H76 H79:H87">
    <cfRule type="containsText" priority="149" dxfId="0" operator="containsText" text="#N/D">
      <formula>NOT(ISERROR(SEARCH("#N/D",H13)))</formula>
    </cfRule>
  </conditionalFormatting>
  <conditionalFormatting sqref="G159">
    <cfRule type="cellIs" priority="112" dxfId="9" operator="equal" stopIfTrue="1">
      <formula>0</formula>
    </cfRule>
  </conditionalFormatting>
  <conditionalFormatting sqref="G130:G131">
    <cfRule type="cellIs" priority="111" dxfId="9" operator="equal" stopIfTrue="1">
      <formula>0</formula>
    </cfRule>
  </conditionalFormatting>
  <conditionalFormatting sqref="H10:I10">
    <cfRule type="cellIs" priority="68" dxfId="9" operator="equal" stopIfTrue="1">
      <formula>0</formula>
    </cfRule>
  </conditionalFormatting>
  <conditionalFormatting sqref="H111:H115">
    <cfRule type="containsText" priority="27" dxfId="2" operator="containsText" text="#N/D">
      <formula>NOT(ISERROR(SEARCH("#N/D",H111)))</formula>
    </cfRule>
    <cfRule type="containsErrors" priority="28" dxfId="1">
      <formula>ISERROR(H111)</formula>
    </cfRule>
  </conditionalFormatting>
  <conditionalFormatting sqref="H111:H115">
    <cfRule type="containsText" priority="26" dxfId="0" operator="containsText" text="#N/D">
      <formula>NOT(ISERROR(SEARCH("#N/D",H111)))</formula>
    </cfRule>
  </conditionalFormatting>
  <conditionalFormatting sqref="H162:H167">
    <cfRule type="containsText" priority="21" dxfId="2" operator="containsText" text="#N/D">
      <formula>NOT(ISERROR(SEARCH("#N/D",H162)))</formula>
    </cfRule>
    <cfRule type="containsErrors" priority="22" dxfId="1">
      <formula>ISERROR(H162)</formula>
    </cfRule>
  </conditionalFormatting>
  <conditionalFormatting sqref="H162:H167">
    <cfRule type="containsText" priority="20" dxfId="0" operator="containsText" text="#N/D">
      <formula>NOT(ISERROR(SEARCH("#N/D",H162)))</formula>
    </cfRule>
  </conditionalFormatting>
  <conditionalFormatting sqref="H45:H51">
    <cfRule type="containsText" priority="2" dxfId="2" operator="containsText" text="#N/D">
      <formula>NOT(ISERROR(SEARCH("#N/D",H45)))</formula>
    </cfRule>
    <cfRule type="containsErrors" priority="3" dxfId="1">
      <formula>ISERROR(H45)</formula>
    </cfRule>
  </conditionalFormatting>
  <conditionalFormatting sqref="H45:H51">
    <cfRule type="containsText" priority="1" dxfId="0" operator="containsText" text="#N/D">
      <formula>NOT(ISERROR(SEARCH("#N/D",H45)))</formula>
    </cfRule>
  </conditionalFormatting>
  <printOptions horizontalCentered="1"/>
  <pageMargins left="0.1968503937007874" right="0.1968503937007874" top="0.56" bottom="0.62" header="0.39" footer="0.27"/>
  <pageSetup fitToHeight="0" fitToWidth="1" horizontalDpi="600" verticalDpi="600" orientation="portrait" paperSize="9" scale="62" r:id="rId2"/>
  <headerFooter alignWithMargins="0">
    <oddFooter>&amp;C&amp;F&amp;R&amp;P/&amp;N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="115" zoomScaleNormal="115" zoomScalePageLayoutView="0" workbookViewId="0" topLeftCell="A16">
      <selection activeCell="F30" sqref="F30:F32"/>
    </sheetView>
  </sheetViews>
  <sheetFormatPr defaultColWidth="9.140625" defaultRowHeight="12.75"/>
  <cols>
    <col min="4" max="4" width="14.8515625" style="0" customWidth="1"/>
    <col min="6" max="11" width="11.57421875" style="0" bestFit="1" customWidth="1"/>
    <col min="12" max="12" width="7.28125" style="0" customWidth="1"/>
  </cols>
  <sheetData>
    <row r="2" spans="1:11" ht="12.75">
      <c r="A2" s="330" t="s">
        <v>224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2.75">
      <c r="A3" s="331" t="s">
        <v>225</v>
      </c>
      <c r="B3" s="331"/>
      <c r="C3" s="331"/>
      <c r="D3" s="331"/>
      <c r="E3" s="331"/>
      <c r="F3" s="331"/>
      <c r="G3" s="331"/>
      <c r="H3" s="331"/>
      <c r="I3" s="331"/>
      <c r="J3" s="331"/>
      <c r="K3" s="163"/>
    </row>
    <row r="4" spans="1:11" ht="12.75">
      <c r="A4" s="331" t="s">
        <v>226</v>
      </c>
      <c r="B4" s="331"/>
      <c r="C4" s="331"/>
      <c r="D4" s="331"/>
      <c r="E4" s="331"/>
      <c r="F4" s="331"/>
      <c r="G4" s="331"/>
      <c r="H4" s="331"/>
      <c r="I4" s="331"/>
      <c r="J4" s="331"/>
      <c r="K4" s="163"/>
    </row>
    <row r="5" spans="1:11" ht="12.75">
      <c r="A5" s="331" t="s">
        <v>227</v>
      </c>
      <c r="B5" s="331"/>
      <c r="C5" s="331"/>
      <c r="D5" s="331"/>
      <c r="E5" s="331"/>
      <c r="F5" s="331"/>
      <c r="G5" s="331"/>
      <c r="H5" s="331"/>
      <c r="I5" s="331"/>
      <c r="J5" s="331"/>
      <c r="K5" s="163"/>
    </row>
    <row r="6" spans="1:11" ht="12.75">
      <c r="A6" s="331" t="s">
        <v>228</v>
      </c>
      <c r="B6" s="331"/>
      <c r="C6" s="331"/>
      <c r="D6" s="331"/>
      <c r="E6" s="331"/>
      <c r="F6" s="331"/>
      <c r="G6" s="331"/>
      <c r="H6" s="331"/>
      <c r="I6" s="331"/>
      <c r="J6" s="331"/>
      <c r="K6" s="163"/>
    </row>
    <row r="7" spans="1:10" ht="13.5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3" ht="13.5">
      <c r="A8" s="351" t="s">
        <v>229</v>
      </c>
      <c r="B8" s="352"/>
      <c r="C8" s="352"/>
      <c r="D8" s="352"/>
      <c r="E8" s="154"/>
      <c r="F8" s="155" t="s">
        <v>230</v>
      </c>
      <c r="G8" s="156"/>
      <c r="H8" s="156"/>
      <c r="I8" s="156"/>
      <c r="J8" s="156"/>
      <c r="K8" s="156"/>
      <c r="L8" s="156"/>
      <c r="M8" s="157"/>
    </row>
    <row r="9" spans="1:13" ht="13.5">
      <c r="A9" s="353" t="s">
        <v>224</v>
      </c>
      <c r="B9" s="354"/>
      <c r="C9" s="354"/>
      <c r="D9" s="354"/>
      <c r="E9" s="158"/>
      <c r="F9" s="355" t="s">
        <v>231</v>
      </c>
      <c r="G9" s="354"/>
      <c r="H9" s="354"/>
      <c r="I9" s="354"/>
      <c r="J9" s="354"/>
      <c r="K9" s="354"/>
      <c r="L9" s="354"/>
      <c r="M9" s="356"/>
    </row>
    <row r="10" spans="1:13" ht="13.5">
      <c r="A10" s="357" t="s">
        <v>232</v>
      </c>
      <c r="B10" s="358"/>
      <c r="C10" s="358"/>
      <c r="D10" s="358"/>
      <c r="E10" s="159"/>
      <c r="F10" s="359" t="s">
        <v>233</v>
      </c>
      <c r="G10" s="358"/>
      <c r="H10" s="358"/>
      <c r="I10" s="358"/>
      <c r="J10" s="358"/>
      <c r="K10" s="358"/>
      <c r="L10" s="358"/>
      <c r="M10" s="360"/>
    </row>
    <row r="11" spans="1:13" ht="14.25" thickBot="1">
      <c r="A11" s="335" t="s">
        <v>234</v>
      </c>
      <c r="B11" s="336"/>
      <c r="C11" s="336"/>
      <c r="D11" s="336"/>
      <c r="E11" s="160"/>
      <c r="F11" s="337" t="s">
        <v>278</v>
      </c>
      <c r="G11" s="338"/>
      <c r="H11" s="338"/>
      <c r="I11" s="338"/>
      <c r="J11" s="338"/>
      <c r="K11" s="338"/>
      <c r="L11" s="338"/>
      <c r="M11" s="339"/>
    </row>
    <row r="12" spans="1:13" ht="12.75">
      <c r="A12" s="332" t="s">
        <v>0</v>
      </c>
      <c r="B12" s="340" t="s">
        <v>235</v>
      </c>
      <c r="C12" s="341"/>
      <c r="D12" s="341"/>
      <c r="E12" s="342"/>
      <c r="F12" s="340" t="s">
        <v>236</v>
      </c>
      <c r="G12" s="341"/>
      <c r="H12" s="341"/>
      <c r="I12" s="341"/>
      <c r="J12" s="341"/>
      <c r="K12" s="341"/>
      <c r="L12" s="341"/>
      <c r="M12" s="342"/>
    </row>
    <row r="13" spans="1:13" ht="6" customHeight="1">
      <c r="A13" s="333"/>
      <c r="B13" s="343"/>
      <c r="C13" s="344"/>
      <c r="D13" s="344"/>
      <c r="E13" s="345"/>
      <c r="F13" s="343"/>
      <c r="G13" s="344"/>
      <c r="H13" s="344"/>
      <c r="I13" s="344"/>
      <c r="J13" s="344"/>
      <c r="K13" s="344"/>
      <c r="L13" s="344"/>
      <c r="M13" s="345"/>
    </row>
    <row r="14" spans="1:13" ht="14.25" thickBot="1">
      <c r="A14" s="334"/>
      <c r="B14" s="335"/>
      <c r="C14" s="336"/>
      <c r="D14" s="336"/>
      <c r="E14" s="348"/>
      <c r="F14" s="161" t="s">
        <v>237</v>
      </c>
      <c r="G14" s="162" t="s">
        <v>238</v>
      </c>
      <c r="H14" s="162" t="s">
        <v>239</v>
      </c>
      <c r="I14" s="162" t="s">
        <v>240</v>
      </c>
      <c r="J14" s="162" t="s">
        <v>241</v>
      </c>
      <c r="K14" s="162" t="s">
        <v>242</v>
      </c>
      <c r="L14" s="346" t="s">
        <v>279</v>
      </c>
      <c r="M14" s="347"/>
    </row>
    <row r="15" spans="1:13" ht="7.5" customHeight="1">
      <c r="A15" s="361">
        <v>1</v>
      </c>
      <c r="B15" s="362" t="s">
        <v>243</v>
      </c>
      <c r="C15" s="363"/>
      <c r="D15" s="364"/>
      <c r="E15" s="349">
        <v>0.015614012843474774</v>
      </c>
      <c r="F15" s="124"/>
      <c r="G15" s="125"/>
      <c r="H15" s="126"/>
      <c r="I15" s="126"/>
      <c r="J15" s="126"/>
      <c r="K15" s="126"/>
      <c r="L15" s="280">
        <f>'Quadra 220V_blocos'!J12</f>
        <v>3033.99</v>
      </c>
      <c r="M15" s="281"/>
    </row>
    <row r="16" spans="1:13" ht="4.5" customHeight="1">
      <c r="A16" s="298"/>
      <c r="B16" s="291"/>
      <c r="C16" s="292"/>
      <c r="D16" s="293"/>
      <c r="E16" s="312"/>
      <c r="F16" s="127"/>
      <c r="G16" s="128"/>
      <c r="H16" s="129"/>
      <c r="I16" s="129"/>
      <c r="J16" s="129"/>
      <c r="K16" s="129"/>
      <c r="L16" s="282"/>
      <c r="M16" s="283"/>
    </row>
    <row r="17" spans="1:13" ht="7.5" customHeight="1">
      <c r="A17" s="299"/>
      <c r="B17" s="294"/>
      <c r="C17" s="295"/>
      <c r="D17" s="296"/>
      <c r="E17" s="312"/>
      <c r="F17" s="142">
        <f>L15</f>
        <v>3033.99</v>
      </c>
      <c r="G17" s="130"/>
      <c r="H17" s="131"/>
      <c r="I17" s="131"/>
      <c r="J17" s="132"/>
      <c r="K17" s="132"/>
      <c r="L17" s="284"/>
      <c r="M17" s="285"/>
    </row>
    <row r="18" spans="1:13" ht="7.5" customHeight="1">
      <c r="A18" s="297">
        <v>2</v>
      </c>
      <c r="B18" s="288" t="str">
        <f>'Quadra 220V_blocos'!E15</f>
        <v>ESQUADRIAS</v>
      </c>
      <c r="C18" s="289"/>
      <c r="D18" s="290"/>
      <c r="E18" s="350">
        <v>0.06013357470600138</v>
      </c>
      <c r="F18" s="275"/>
      <c r="G18" s="327"/>
      <c r="H18" s="137"/>
      <c r="I18" s="275"/>
      <c r="J18" s="327"/>
      <c r="K18" s="327"/>
      <c r="L18" s="286">
        <f>'Quadra 220V_blocos'!J15</f>
        <v>5759.780000000001</v>
      </c>
      <c r="M18" s="287"/>
    </row>
    <row r="19" spans="1:13" ht="4.5" customHeight="1">
      <c r="A19" s="298"/>
      <c r="B19" s="291"/>
      <c r="C19" s="292"/>
      <c r="D19" s="293"/>
      <c r="E19" s="312"/>
      <c r="F19" s="276"/>
      <c r="G19" s="328"/>
      <c r="H19" s="134"/>
      <c r="I19" s="276"/>
      <c r="J19" s="328"/>
      <c r="K19" s="328"/>
      <c r="L19" s="282"/>
      <c r="M19" s="283"/>
    </row>
    <row r="20" spans="1:13" ht="7.5" customHeight="1">
      <c r="A20" s="299"/>
      <c r="B20" s="294"/>
      <c r="C20" s="295"/>
      <c r="D20" s="296"/>
      <c r="E20" s="313"/>
      <c r="F20" s="277"/>
      <c r="G20" s="329"/>
      <c r="H20" s="143">
        <f>L18</f>
        <v>5759.780000000001</v>
      </c>
      <c r="I20" s="277"/>
      <c r="J20" s="329"/>
      <c r="K20" s="329"/>
      <c r="L20" s="284"/>
      <c r="M20" s="285"/>
    </row>
    <row r="21" spans="1:13" ht="7.5" customHeight="1">
      <c r="A21" s="297">
        <v>3</v>
      </c>
      <c r="B21" s="288" t="str">
        <f>'Quadra 220V_blocos'!E27</f>
        <v>SISTEMAS DE COBERTURA </v>
      </c>
      <c r="C21" s="289"/>
      <c r="D21" s="290"/>
      <c r="E21" s="279">
        <v>0.055378838069529125</v>
      </c>
      <c r="F21" s="275"/>
      <c r="G21" s="138"/>
      <c r="H21" s="275"/>
      <c r="I21" s="275"/>
      <c r="J21" s="275"/>
      <c r="K21" s="275"/>
      <c r="L21" s="286">
        <f>'Quadra 220V_blocos'!J27</f>
        <v>8686.57</v>
      </c>
      <c r="M21" s="287"/>
    </row>
    <row r="22" spans="1:13" ht="4.5" customHeight="1">
      <c r="A22" s="298"/>
      <c r="B22" s="291"/>
      <c r="C22" s="292"/>
      <c r="D22" s="293"/>
      <c r="E22" s="279"/>
      <c r="F22" s="276"/>
      <c r="G22" s="133"/>
      <c r="H22" s="276"/>
      <c r="I22" s="276"/>
      <c r="J22" s="276"/>
      <c r="K22" s="276"/>
      <c r="L22" s="282"/>
      <c r="M22" s="283"/>
    </row>
    <row r="23" spans="1:13" ht="7.5" customHeight="1">
      <c r="A23" s="299"/>
      <c r="B23" s="294"/>
      <c r="C23" s="295"/>
      <c r="D23" s="296"/>
      <c r="E23" s="279"/>
      <c r="F23" s="277"/>
      <c r="G23" s="144">
        <f>L21</f>
        <v>8686.57</v>
      </c>
      <c r="H23" s="277"/>
      <c r="I23" s="277"/>
      <c r="J23" s="277"/>
      <c r="K23" s="277"/>
      <c r="L23" s="284"/>
      <c r="M23" s="285"/>
    </row>
    <row r="24" spans="1:13" ht="7.5" customHeight="1">
      <c r="A24" s="297">
        <v>4</v>
      </c>
      <c r="B24" s="288" t="str">
        <f>'Quadra 220V_blocos'!E30</f>
        <v>REVESTIMENTOS INTERNOS E EXTERNOS</v>
      </c>
      <c r="C24" s="289"/>
      <c r="D24" s="290"/>
      <c r="E24" s="279">
        <v>0.09950689163008548</v>
      </c>
      <c r="F24" s="275"/>
      <c r="G24" s="275"/>
      <c r="H24" s="275"/>
      <c r="I24" s="145"/>
      <c r="J24" s="275"/>
      <c r="K24" s="275"/>
      <c r="L24" s="286">
        <f>'Quadra 220V_blocos'!J30</f>
        <v>6430.44</v>
      </c>
      <c r="M24" s="287"/>
    </row>
    <row r="25" spans="1:13" ht="4.5" customHeight="1">
      <c r="A25" s="298"/>
      <c r="B25" s="291"/>
      <c r="C25" s="292"/>
      <c r="D25" s="293"/>
      <c r="E25" s="279"/>
      <c r="F25" s="276"/>
      <c r="G25" s="276"/>
      <c r="H25" s="276"/>
      <c r="I25" s="134"/>
      <c r="J25" s="276"/>
      <c r="K25" s="276"/>
      <c r="L25" s="282"/>
      <c r="M25" s="283"/>
    </row>
    <row r="26" spans="1:13" ht="7.5" customHeight="1">
      <c r="A26" s="299"/>
      <c r="B26" s="294"/>
      <c r="C26" s="295"/>
      <c r="D26" s="296"/>
      <c r="E26" s="279"/>
      <c r="F26" s="277"/>
      <c r="G26" s="277"/>
      <c r="H26" s="277"/>
      <c r="I26" s="147">
        <f>L24</f>
        <v>6430.44</v>
      </c>
      <c r="J26" s="277"/>
      <c r="K26" s="277"/>
      <c r="L26" s="284"/>
      <c r="M26" s="285"/>
    </row>
    <row r="27" spans="1:13" ht="7.5" customHeight="1">
      <c r="A27" s="297">
        <v>5</v>
      </c>
      <c r="B27" s="300" t="str">
        <f>'Quadra 220V_blocos'!E41</f>
        <v>SISTEMAS DE PISOS INTERNOS E EXTERNOS (PAVIMENTAÇÃO)</v>
      </c>
      <c r="C27" s="301"/>
      <c r="D27" s="302"/>
      <c r="E27" s="279">
        <v>0.00971468762427684</v>
      </c>
      <c r="F27" s="275"/>
      <c r="G27" s="275"/>
      <c r="H27" s="145"/>
      <c r="I27" s="145"/>
      <c r="J27" s="275"/>
      <c r="K27" s="275"/>
      <c r="L27" s="286">
        <f>'Quadra 220V_blocos'!J41</f>
        <v>89571.56</v>
      </c>
      <c r="M27" s="287"/>
    </row>
    <row r="28" spans="1:13" ht="4.5" customHeight="1">
      <c r="A28" s="298"/>
      <c r="B28" s="303"/>
      <c r="C28" s="304"/>
      <c r="D28" s="305"/>
      <c r="E28" s="279"/>
      <c r="F28" s="276"/>
      <c r="G28" s="276"/>
      <c r="H28" s="134"/>
      <c r="I28" s="134"/>
      <c r="J28" s="276"/>
      <c r="K28" s="276"/>
      <c r="L28" s="282"/>
      <c r="M28" s="283"/>
    </row>
    <row r="29" spans="1:13" ht="7.5" customHeight="1">
      <c r="A29" s="299"/>
      <c r="B29" s="306"/>
      <c r="C29" s="307"/>
      <c r="D29" s="308"/>
      <c r="E29" s="279"/>
      <c r="F29" s="277"/>
      <c r="G29" s="277"/>
      <c r="H29" s="147">
        <f>L27*0.8</f>
        <v>71657.248</v>
      </c>
      <c r="I29" s="146">
        <f>L27*0.2</f>
        <v>17914.312</v>
      </c>
      <c r="J29" s="277"/>
      <c r="K29" s="277"/>
      <c r="L29" s="284"/>
      <c r="M29" s="285"/>
    </row>
    <row r="30" spans="1:13" ht="7.5" customHeight="1">
      <c r="A30" s="297">
        <v>6</v>
      </c>
      <c r="B30" s="288" t="str">
        <f>'Quadra 220V_blocos'!E53</f>
        <v>PINTURA</v>
      </c>
      <c r="C30" s="289"/>
      <c r="D30" s="290"/>
      <c r="E30" s="279">
        <v>0.12881167553659603</v>
      </c>
      <c r="F30" s="275"/>
      <c r="G30" s="275"/>
      <c r="H30" s="275"/>
      <c r="I30" s="140"/>
      <c r="J30" s="138"/>
      <c r="K30" s="145"/>
      <c r="L30" s="286">
        <f>'Quadra 220V_blocos'!J53</f>
        <v>35099.33</v>
      </c>
      <c r="M30" s="287"/>
    </row>
    <row r="31" spans="1:13" ht="4.5" customHeight="1">
      <c r="A31" s="298"/>
      <c r="B31" s="291"/>
      <c r="C31" s="292"/>
      <c r="D31" s="293"/>
      <c r="E31" s="279"/>
      <c r="F31" s="276"/>
      <c r="G31" s="276"/>
      <c r="H31" s="276"/>
      <c r="I31" s="135"/>
      <c r="J31" s="134"/>
      <c r="K31" s="134"/>
      <c r="L31" s="282"/>
      <c r="M31" s="283"/>
    </row>
    <row r="32" spans="1:13" ht="7.5" customHeight="1">
      <c r="A32" s="299"/>
      <c r="B32" s="294"/>
      <c r="C32" s="295"/>
      <c r="D32" s="296"/>
      <c r="E32" s="279"/>
      <c r="F32" s="277"/>
      <c r="G32" s="277"/>
      <c r="H32" s="277"/>
      <c r="I32" s="148">
        <f>L30*0.5</f>
        <v>17549.665</v>
      </c>
      <c r="J32" s="149">
        <f>L30*0.3</f>
        <v>10529.799</v>
      </c>
      <c r="K32" s="150">
        <f>L30*0.2</f>
        <v>7019.866000000001</v>
      </c>
      <c r="L32" s="284"/>
      <c r="M32" s="285"/>
    </row>
    <row r="33" spans="1:13" ht="7.5" customHeight="1">
      <c r="A33" s="297">
        <v>7</v>
      </c>
      <c r="B33" s="288" t="str">
        <f>'Quadra 220V_blocos'!E62</f>
        <v>INSTALAÇÕES HIDRÁULICA</v>
      </c>
      <c r="C33" s="289"/>
      <c r="D33" s="290"/>
      <c r="E33" s="279">
        <v>0.23225987090134326</v>
      </c>
      <c r="F33" s="275"/>
      <c r="G33" s="275"/>
      <c r="H33" s="275"/>
      <c r="I33" s="145"/>
      <c r="J33" s="275"/>
      <c r="K33" s="275"/>
      <c r="L33" s="286">
        <f>'Quadra 220V_blocos'!J62</f>
        <v>1731.5</v>
      </c>
      <c r="M33" s="287"/>
    </row>
    <row r="34" spans="1:13" ht="4.5" customHeight="1">
      <c r="A34" s="298"/>
      <c r="B34" s="291"/>
      <c r="C34" s="292"/>
      <c r="D34" s="293"/>
      <c r="E34" s="279"/>
      <c r="F34" s="276"/>
      <c r="G34" s="276"/>
      <c r="H34" s="276"/>
      <c r="I34" s="134"/>
      <c r="J34" s="276"/>
      <c r="K34" s="276"/>
      <c r="L34" s="282"/>
      <c r="M34" s="283"/>
    </row>
    <row r="35" spans="1:13" ht="7.5" customHeight="1">
      <c r="A35" s="299"/>
      <c r="B35" s="294"/>
      <c r="C35" s="295"/>
      <c r="D35" s="296"/>
      <c r="E35" s="279"/>
      <c r="F35" s="277"/>
      <c r="G35" s="277"/>
      <c r="H35" s="277"/>
      <c r="I35" s="147">
        <f>L33</f>
        <v>1731.5</v>
      </c>
      <c r="J35" s="277"/>
      <c r="K35" s="277"/>
      <c r="L35" s="284"/>
      <c r="M35" s="285"/>
    </row>
    <row r="36" spans="1:13" ht="7.5" customHeight="1">
      <c r="A36" s="297">
        <v>8</v>
      </c>
      <c r="B36" s="288" t="str">
        <f>'Quadra 220V_blocos'!E78</f>
        <v>INSTALAÇÃO SANITÁRIA</v>
      </c>
      <c r="C36" s="289"/>
      <c r="D36" s="290"/>
      <c r="E36" s="279">
        <v>0.14939232880526837</v>
      </c>
      <c r="F36" s="275"/>
      <c r="G36" s="275"/>
      <c r="H36" s="275"/>
      <c r="I36" s="275"/>
      <c r="J36" s="140"/>
      <c r="K36" s="275"/>
      <c r="L36" s="286">
        <f>'Quadra 220V_blocos'!J78</f>
        <v>2327.91</v>
      </c>
      <c r="M36" s="287"/>
    </row>
    <row r="37" spans="1:13" ht="4.5" customHeight="1">
      <c r="A37" s="298"/>
      <c r="B37" s="291"/>
      <c r="C37" s="292"/>
      <c r="D37" s="293"/>
      <c r="E37" s="279"/>
      <c r="F37" s="276"/>
      <c r="G37" s="276"/>
      <c r="H37" s="276"/>
      <c r="I37" s="276"/>
      <c r="J37" s="136"/>
      <c r="K37" s="276"/>
      <c r="L37" s="282"/>
      <c r="M37" s="283"/>
    </row>
    <row r="38" spans="1:13" ht="7.5" customHeight="1">
      <c r="A38" s="299"/>
      <c r="B38" s="294"/>
      <c r="C38" s="295"/>
      <c r="D38" s="296"/>
      <c r="E38" s="279"/>
      <c r="F38" s="277"/>
      <c r="G38" s="277"/>
      <c r="H38" s="277"/>
      <c r="I38" s="277"/>
      <c r="J38" s="153">
        <f>L36</f>
        <v>2327.91</v>
      </c>
      <c r="K38" s="277"/>
      <c r="L38" s="284"/>
      <c r="M38" s="285"/>
    </row>
    <row r="39" spans="1:13" ht="7.5" customHeight="1">
      <c r="A39" s="297">
        <v>9</v>
      </c>
      <c r="B39" s="288" t="str">
        <f>'Quadra 220V_blocos'!E89</f>
        <v>INSTALAÇÕES DE AGUAS PLUVIAIS</v>
      </c>
      <c r="C39" s="289"/>
      <c r="D39" s="290"/>
      <c r="E39" s="279">
        <v>0.01922536922509962</v>
      </c>
      <c r="F39" s="275"/>
      <c r="G39" s="275"/>
      <c r="H39" s="275"/>
      <c r="I39" s="275"/>
      <c r="J39" s="141"/>
      <c r="K39" s="275"/>
      <c r="L39" s="286">
        <f>'Quadra 220V_blocos'!J89</f>
        <v>2146.9700000000003</v>
      </c>
      <c r="M39" s="287"/>
    </row>
    <row r="40" spans="1:13" ht="4.5" customHeight="1">
      <c r="A40" s="298"/>
      <c r="B40" s="291"/>
      <c r="C40" s="292"/>
      <c r="D40" s="293"/>
      <c r="E40" s="279"/>
      <c r="F40" s="276"/>
      <c r="G40" s="276"/>
      <c r="H40" s="276"/>
      <c r="I40" s="276"/>
      <c r="J40" s="135"/>
      <c r="K40" s="276"/>
      <c r="L40" s="282"/>
      <c r="M40" s="283"/>
    </row>
    <row r="41" spans="1:13" ht="7.5" customHeight="1">
      <c r="A41" s="299"/>
      <c r="B41" s="294"/>
      <c r="C41" s="295"/>
      <c r="D41" s="296"/>
      <c r="E41" s="279"/>
      <c r="F41" s="277"/>
      <c r="G41" s="277"/>
      <c r="H41" s="277"/>
      <c r="I41" s="277"/>
      <c r="J41" s="153">
        <f>L39</f>
        <v>2146.9700000000003</v>
      </c>
      <c r="K41" s="277"/>
      <c r="L41" s="284"/>
      <c r="M41" s="285"/>
    </row>
    <row r="42" spans="1:13" ht="7.5" customHeight="1">
      <c r="A42" s="297">
        <v>10</v>
      </c>
      <c r="B42" s="288" t="str">
        <f>'Quadra 220V_blocos'!E94</f>
        <v>LOUÇAS E METAIS</v>
      </c>
      <c r="C42" s="289"/>
      <c r="D42" s="290"/>
      <c r="E42" s="279">
        <v>0.02557929424384704</v>
      </c>
      <c r="F42" s="275"/>
      <c r="G42" s="275"/>
      <c r="H42" s="275"/>
      <c r="I42" s="275"/>
      <c r="J42" s="145"/>
      <c r="K42" s="275"/>
      <c r="L42" s="286">
        <f>'Quadra 220V_blocos'!J94</f>
        <v>9678.300000000001</v>
      </c>
      <c r="M42" s="287"/>
    </row>
    <row r="43" spans="1:13" ht="4.5" customHeight="1">
      <c r="A43" s="298"/>
      <c r="B43" s="291"/>
      <c r="C43" s="292"/>
      <c r="D43" s="293"/>
      <c r="E43" s="279"/>
      <c r="F43" s="276"/>
      <c r="G43" s="276"/>
      <c r="H43" s="276"/>
      <c r="I43" s="276"/>
      <c r="J43" s="134"/>
      <c r="K43" s="276"/>
      <c r="L43" s="282"/>
      <c r="M43" s="283"/>
    </row>
    <row r="44" spans="1:13" ht="7.5" customHeight="1">
      <c r="A44" s="299"/>
      <c r="B44" s="294"/>
      <c r="C44" s="295"/>
      <c r="D44" s="296"/>
      <c r="E44" s="279"/>
      <c r="F44" s="277"/>
      <c r="G44" s="277"/>
      <c r="H44" s="277"/>
      <c r="I44" s="277"/>
      <c r="J44" s="147">
        <f>L42</f>
        <v>9678.300000000001</v>
      </c>
      <c r="K44" s="277"/>
      <c r="L44" s="284"/>
      <c r="M44" s="285"/>
    </row>
    <row r="45" spans="1:13" ht="7.5" customHeight="1">
      <c r="A45" s="297">
        <v>11</v>
      </c>
      <c r="B45" s="288" t="str">
        <f>'Quadra 220V_blocos'!E110</f>
        <v>SISTEMA DE PROTEÇÃO CONTRA INCÊNCIO</v>
      </c>
      <c r="C45" s="289"/>
      <c r="D45" s="290"/>
      <c r="E45" s="279">
        <v>0.017695827519143486</v>
      </c>
      <c r="F45" s="275"/>
      <c r="G45" s="275"/>
      <c r="H45" s="275"/>
      <c r="I45" s="275"/>
      <c r="J45" s="314"/>
      <c r="K45" s="138"/>
      <c r="L45" s="286">
        <f>'Quadra 220V_blocos'!J110</f>
        <v>739.1600000000001</v>
      </c>
      <c r="M45" s="287"/>
    </row>
    <row r="46" spans="1:13" ht="4.5" customHeight="1">
      <c r="A46" s="298"/>
      <c r="B46" s="291"/>
      <c r="C46" s="292"/>
      <c r="D46" s="293"/>
      <c r="E46" s="279"/>
      <c r="F46" s="276"/>
      <c r="G46" s="276"/>
      <c r="H46" s="276"/>
      <c r="I46" s="276"/>
      <c r="J46" s="315"/>
      <c r="K46" s="134"/>
      <c r="L46" s="282"/>
      <c r="M46" s="283"/>
    </row>
    <row r="47" spans="1:13" ht="7.5" customHeight="1">
      <c r="A47" s="299"/>
      <c r="B47" s="294"/>
      <c r="C47" s="295"/>
      <c r="D47" s="296"/>
      <c r="E47" s="279"/>
      <c r="F47" s="277"/>
      <c r="G47" s="277"/>
      <c r="H47" s="277"/>
      <c r="I47" s="277"/>
      <c r="J47" s="316"/>
      <c r="K47" s="149">
        <f>L45</f>
        <v>739.1600000000001</v>
      </c>
      <c r="L47" s="284"/>
      <c r="M47" s="285"/>
    </row>
    <row r="48" spans="1:13" ht="7.5" customHeight="1">
      <c r="A48" s="297">
        <v>12</v>
      </c>
      <c r="B48" s="288" t="s">
        <v>247</v>
      </c>
      <c r="C48" s="289"/>
      <c r="D48" s="290"/>
      <c r="E48" s="279">
        <v>0.044577967733111075</v>
      </c>
      <c r="F48" s="275"/>
      <c r="G48" s="275"/>
      <c r="H48" s="275"/>
      <c r="I48" s="275"/>
      <c r="J48" s="139"/>
      <c r="K48" s="309"/>
      <c r="L48" s="286">
        <f>'Quadra 220V_blocos'!J117</f>
        <v>20507.109999999997</v>
      </c>
      <c r="M48" s="287"/>
    </row>
    <row r="49" spans="1:13" ht="4.5" customHeight="1">
      <c r="A49" s="298"/>
      <c r="B49" s="291"/>
      <c r="C49" s="292"/>
      <c r="D49" s="293"/>
      <c r="E49" s="279"/>
      <c r="F49" s="276"/>
      <c r="G49" s="276"/>
      <c r="H49" s="276"/>
      <c r="I49" s="276"/>
      <c r="J49" s="152"/>
      <c r="K49" s="310"/>
      <c r="L49" s="282"/>
      <c r="M49" s="283"/>
    </row>
    <row r="50" spans="1:13" ht="7.5" customHeight="1">
      <c r="A50" s="299"/>
      <c r="B50" s="294"/>
      <c r="C50" s="295"/>
      <c r="D50" s="296"/>
      <c r="E50" s="279"/>
      <c r="F50" s="277"/>
      <c r="G50" s="277"/>
      <c r="H50" s="277"/>
      <c r="I50" s="277"/>
      <c r="J50" s="147">
        <f>L48</f>
        <v>20507.109999999997</v>
      </c>
      <c r="K50" s="311"/>
      <c r="L50" s="284"/>
      <c r="M50" s="285"/>
    </row>
    <row r="51" spans="1:13" ht="7.5" customHeight="1">
      <c r="A51" s="297">
        <v>13</v>
      </c>
      <c r="B51" s="300" t="str">
        <f>'Quadra 220V_blocos'!E161</f>
        <v>SISTEMA DE PROTEÇÃO CONTRA DESCARGAS ATMOSFÉRICAS (SPDA)</v>
      </c>
      <c r="C51" s="301"/>
      <c r="D51" s="302"/>
      <c r="E51" s="279">
        <v>0.006513726380653433</v>
      </c>
      <c r="F51" s="275"/>
      <c r="G51" s="275"/>
      <c r="H51" s="275"/>
      <c r="I51" s="275"/>
      <c r="J51" s="145"/>
      <c r="K51" s="275"/>
      <c r="L51" s="286">
        <f>'Quadra 220V_blocos'!J161</f>
        <v>2295.83</v>
      </c>
      <c r="M51" s="287"/>
    </row>
    <row r="52" spans="1:13" ht="4.5" customHeight="1">
      <c r="A52" s="298"/>
      <c r="B52" s="303"/>
      <c r="C52" s="304"/>
      <c r="D52" s="305"/>
      <c r="E52" s="279"/>
      <c r="F52" s="276"/>
      <c r="G52" s="276"/>
      <c r="H52" s="276"/>
      <c r="I52" s="276"/>
      <c r="J52" s="134"/>
      <c r="K52" s="276"/>
      <c r="L52" s="282"/>
      <c r="M52" s="283"/>
    </row>
    <row r="53" spans="1:13" ht="7.5" customHeight="1">
      <c r="A53" s="299"/>
      <c r="B53" s="306"/>
      <c r="C53" s="307"/>
      <c r="D53" s="308"/>
      <c r="E53" s="279"/>
      <c r="F53" s="277"/>
      <c r="G53" s="277"/>
      <c r="H53" s="277"/>
      <c r="I53" s="277"/>
      <c r="J53" s="147">
        <f>L51</f>
        <v>2295.83</v>
      </c>
      <c r="K53" s="277"/>
      <c r="L53" s="284"/>
      <c r="M53" s="285"/>
    </row>
    <row r="54" spans="1:13" ht="7.5" customHeight="1">
      <c r="A54" s="297">
        <v>14</v>
      </c>
      <c r="B54" s="288" t="str">
        <f>'Quadra 220V_blocos'!E169</f>
        <v>SERVIÇOS COMPLEMENTARES</v>
      </c>
      <c r="C54" s="289"/>
      <c r="D54" s="290"/>
      <c r="E54" s="312">
        <v>0.13195618705821133</v>
      </c>
      <c r="F54" s="275"/>
      <c r="G54" s="275"/>
      <c r="H54" s="275"/>
      <c r="I54" s="275"/>
      <c r="J54" s="275"/>
      <c r="K54" s="141"/>
      <c r="L54" s="286">
        <f>'Quadra 220V_blocos'!J169</f>
        <v>35143.34</v>
      </c>
      <c r="M54" s="287"/>
    </row>
    <row r="55" spans="1:13" ht="4.5" customHeight="1">
      <c r="A55" s="298"/>
      <c r="B55" s="291"/>
      <c r="C55" s="292"/>
      <c r="D55" s="293"/>
      <c r="E55" s="312"/>
      <c r="F55" s="276"/>
      <c r="G55" s="276"/>
      <c r="H55" s="276"/>
      <c r="I55" s="276"/>
      <c r="J55" s="276"/>
      <c r="K55" s="135"/>
      <c r="L55" s="282"/>
      <c r="M55" s="283"/>
    </row>
    <row r="56" spans="1:13" ht="7.5" customHeight="1">
      <c r="A56" s="299"/>
      <c r="B56" s="291"/>
      <c r="C56" s="292"/>
      <c r="D56" s="293"/>
      <c r="E56" s="313"/>
      <c r="F56" s="277"/>
      <c r="G56" s="277"/>
      <c r="H56" s="277"/>
      <c r="I56" s="277"/>
      <c r="J56" s="277"/>
      <c r="K56" s="151">
        <f>L54</f>
        <v>35143.34</v>
      </c>
      <c r="L56" s="282"/>
      <c r="M56" s="283"/>
    </row>
    <row r="57" spans="1:13" ht="12" customHeight="1">
      <c r="A57" s="325" t="s">
        <v>244</v>
      </c>
      <c r="B57" s="326"/>
      <c r="C57" s="326"/>
      <c r="D57" s="326"/>
      <c r="E57" s="326"/>
      <c r="F57" s="172">
        <f>SUM(F17:F23)</f>
        <v>3033.99</v>
      </c>
      <c r="G57" s="172">
        <f>SUM(G15:G56)</f>
        <v>8686.57</v>
      </c>
      <c r="H57" s="172">
        <f>SUM(H15:H56)</f>
        <v>77417.028</v>
      </c>
      <c r="I57" s="172">
        <f>SUM(I15:I56)</f>
        <v>43625.917</v>
      </c>
      <c r="J57" s="172">
        <f>SUM(J15:J56)</f>
        <v>47485.918999999994</v>
      </c>
      <c r="K57" s="172">
        <f>SUM(K15:K56)</f>
        <v>42902.365999999995</v>
      </c>
      <c r="L57" s="321">
        <f>SUM(L15:M54)</f>
        <v>223151.78999999995</v>
      </c>
      <c r="M57" s="322"/>
    </row>
    <row r="58" spans="1:13" ht="12" customHeight="1">
      <c r="A58" s="325" t="s">
        <v>245</v>
      </c>
      <c r="B58" s="326"/>
      <c r="C58" s="326"/>
      <c r="D58" s="326"/>
      <c r="E58" s="326"/>
      <c r="F58" s="173">
        <f aca="true" t="shared" si="0" ref="F58:K58">F57/$L$57</f>
        <v>0.013596081841870954</v>
      </c>
      <c r="G58" s="173">
        <f t="shared" si="0"/>
        <v>0.03892673233766129</v>
      </c>
      <c r="H58" s="173">
        <f t="shared" si="0"/>
        <v>0.346925417896043</v>
      </c>
      <c r="I58" s="173">
        <f t="shared" si="0"/>
        <v>0.1954988440827654</v>
      </c>
      <c r="J58" s="173">
        <f t="shared" si="0"/>
        <v>0.2127964960532022</v>
      </c>
      <c r="K58" s="173">
        <f t="shared" si="0"/>
        <v>0.19225642778845736</v>
      </c>
      <c r="L58" s="323">
        <v>1</v>
      </c>
      <c r="M58" s="324"/>
    </row>
    <row r="59" spans="1:13" ht="12" customHeight="1" thickBot="1">
      <c r="A59" s="317" t="s">
        <v>246</v>
      </c>
      <c r="B59" s="318"/>
      <c r="C59" s="318"/>
      <c r="D59" s="318"/>
      <c r="E59" s="318"/>
      <c r="F59" s="174">
        <f>F58</f>
        <v>0.013596081841870954</v>
      </c>
      <c r="G59" s="174">
        <f>F59+G58</f>
        <v>0.05252281417953225</v>
      </c>
      <c r="H59" s="174">
        <f>G59+H58</f>
        <v>0.3994482320755752</v>
      </c>
      <c r="I59" s="174">
        <f>H59+I58</f>
        <v>0.5949470761583406</v>
      </c>
      <c r="J59" s="174">
        <f>I59+J58</f>
        <v>0.8077435722115428</v>
      </c>
      <c r="K59" s="174">
        <f>J59+K58</f>
        <v>1.0000000000000002</v>
      </c>
      <c r="L59" s="319"/>
      <c r="M59" s="320"/>
    </row>
    <row r="61" spans="8:12" ht="12.75">
      <c r="H61" s="278"/>
      <c r="I61" s="278"/>
      <c r="J61" s="278"/>
      <c r="K61" s="278"/>
      <c r="L61" s="278"/>
    </row>
  </sheetData>
  <sheetProtection/>
  <mergeCells count="142">
    <mergeCell ref="F10:M10"/>
    <mergeCell ref="A15:A17"/>
    <mergeCell ref="B15:D17"/>
    <mergeCell ref="J24:J26"/>
    <mergeCell ref="K24:K26"/>
    <mergeCell ref="A21:A23"/>
    <mergeCell ref="B21:D23"/>
    <mergeCell ref="A24:A26"/>
    <mergeCell ref="B24:D26"/>
    <mergeCell ref="H24:H26"/>
    <mergeCell ref="B12:E14"/>
    <mergeCell ref="G18:G20"/>
    <mergeCell ref="J18:J20"/>
    <mergeCell ref="E15:E17"/>
    <mergeCell ref="E18:E20"/>
    <mergeCell ref="A7:J7"/>
    <mergeCell ref="A8:D8"/>
    <mergeCell ref="A9:D9"/>
    <mergeCell ref="F9:M9"/>
    <mergeCell ref="A10:D10"/>
    <mergeCell ref="A2:K2"/>
    <mergeCell ref="A3:J3"/>
    <mergeCell ref="A4:J4"/>
    <mergeCell ref="A5:J5"/>
    <mergeCell ref="A6:J6"/>
    <mergeCell ref="A12:A14"/>
    <mergeCell ref="A11:D11"/>
    <mergeCell ref="F11:M11"/>
    <mergeCell ref="F12:M13"/>
    <mergeCell ref="L14:M14"/>
    <mergeCell ref="B33:D35"/>
    <mergeCell ref="A36:A38"/>
    <mergeCell ref="B36:D38"/>
    <mergeCell ref="L36:M38"/>
    <mergeCell ref="K18:K20"/>
    <mergeCell ref="A18:A20"/>
    <mergeCell ref="B18:D20"/>
    <mergeCell ref="A27:A29"/>
    <mergeCell ref="B27:D29"/>
    <mergeCell ref="A30:A32"/>
    <mergeCell ref="B30:D32"/>
    <mergeCell ref="L57:M57"/>
    <mergeCell ref="L58:M58"/>
    <mergeCell ref="A58:E58"/>
    <mergeCell ref="A57:E57"/>
    <mergeCell ref="F30:F32"/>
    <mergeCell ref="A33:A35"/>
    <mergeCell ref="A59:E59"/>
    <mergeCell ref="L59:M59"/>
    <mergeCell ref="H21:H23"/>
    <mergeCell ref="I21:I23"/>
    <mergeCell ref="J21:J23"/>
    <mergeCell ref="K21:K23"/>
    <mergeCell ref="A39:A41"/>
    <mergeCell ref="B39:D41"/>
    <mergeCell ref="A42:A44"/>
    <mergeCell ref="L39:M41"/>
    <mergeCell ref="L42:M44"/>
    <mergeCell ref="E39:E41"/>
    <mergeCell ref="E42:E44"/>
    <mergeCell ref="F39:F41"/>
    <mergeCell ref="G39:G41"/>
    <mergeCell ref="H39:H41"/>
    <mergeCell ref="K39:K41"/>
    <mergeCell ref="F42:F44"/>
    <mergeCell ref="I39:I41"/>
    <mergeCell ref="E36:E38"/>
    <mergeCell ref="K36:K38"/>
    <mergeCell ref="H45:H47"/>
    <mergeCell ref="J45:J47"/>
    <mergeCell ref="H36:H38"/>
    <mergeCell ref="G42:G44"/>
    <mergeCell ref="H42:H44"/>
    <mergeCell ref="I42:I44"/>
    <mergeCell ref="I36:I38"/>
    <mergeCell ref="L51:M53"/>
    <mergeCell ref="L54:M56"/>
    <mergeCell ref="E51:E53"/>
    <mergeCell ref="E54:E56"/>
    <mergeCell ref="F51:F53"/>
    <mergeCell ref="G51:G53"/>
    <mergeCell ref="H51:H53"/>
    <mergeCell ref="I51:I53"/>
    <mergeCell ref="F54:F56"/>
    <mergeCell ref="F48:F50"/>
    <mergeCell ref="G48:G50"/>
    <mergeCell ref="H48:H50"/>
    <mergeCell ref="K48:K50"/>
    <mergeCell ref="A54:A56"/>
    <mergeCell ref="B54:D56"/>
    <mergeCell ref="K33:K35"/>
    <mergeCell ref="G24:G26"/>
    <mergeCell ref="A51:A53"/>
    <mergeCell ref="B51:D53"/>
    <mergeCell ref="A45:A47"/>
    <mergeCell ref="B45:D47"/>
    <mergeCell ref="A48:A50"/>
    <mergeCell ref="B48:D50"/>
    <mergeCell ref="E45:E47"/>
    <mergeCell ref="E48:E50"/>
    <mergeCell ref="L15:M17"/>
    <mergeCell ref="L18:M20"/>
    <mergeCell ref="L21:M23"/>
    <mergeCell ref="L24:M26"/>
    <mergeCell ref="L27:M29"/>
    <mergeCell ref="B42:D44"/>
    <mergeCell ref="K27:K29"/>
    <mergeCell ref="L30:M32"/>
    <mergeCell ref="L33:M35"/>
    <mergeCell ref="E30:E32"/>
    <mergeCell ref="I18:I20"/>
    <mergeCell ref="F27:F29"/>
    <mergeCell ref="G27:G29"/>
    <mergeCell ref="F18:F20"/>
    <mergeCell ref="J33:J35"/>
    <mergeCell ref="G30:G32"/>
    <mergeCell ref="J27:J29"/>
    <mergeCell ref="F33:F35"/>
    <mergeCell ref="G33:G35"/>
    <mergeCell ref="H33:H35"/>
    <mergeCell ref="E21:E23"/>
    <mergeCell ref="E24:E26"/>
    <mergeCell ref="E27:E29"/>
    <mergeCell ref="F21:F23"/>
    <mergeCell ref="F24:F26"/>
    <mergeCell ref="E33:E35"/>
    <mergeCell ref="H61:L61"/>
    <mergeCell ref="K42:K44"/>
    <mergeCell ref="K51:K53"/>
    <mergeCell ref="J54:J56"/>
    <mergeCell ref="F36:F38"/>
    <mergeCell ref="G36:G38"/>
    <mergeCell ref="L45:M47"/>
    <mergeCell ref="L48:M50"/>
    <mergeCell ref="F45:F47"/>
    <mergeCell ref="G45:G47"/>
    <mergeCell ref="G54:G56"/>
    <mergeCell ref="H54:H56"/>
    <mergeCell ref="I54:I56"/>
    <mergeCell ref="I45:I47"/>
    <mergeCell ref="I48:I50"/>
    <mergeCell ref="H30:H32"/>
  </mergeCells>
  <printOptions horizontalCentered="1"/>
  <pageMargins left="0.31496062992125984" right="0.31496062992125984" top="0.5905511811023623" bottom="0.3937007874015748" header="0.11811023622047245" footer="0.1181102362204724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33" sqref="G33"/>
    </sheetView>
  </sheetViews>
  <sheetFormatPr defaultColWidth="9.140625" defaultRowHeight="12.75"/>
  <cols>
    <col min="3" max="3" width="16.28125" style="0" customWidth="1"/>
    <col min="5" max="5" width="9.421875" style="0" customWidth="1"/>
    <col min="8" max="8" width="21.8515625" style="0" customWidth="1"/>
    <col min="9" max="9" width="14.28125" style="0" bestFit="1" customWidth="1"/>
  </cols>
  <sheetData>
    <row r="1" spans="1:9" ht="12.75">
      <c r="A1" s="435"/>
      <c r="B1" s="436"/>
      <c r="C1" s="436"/>
      <c r="D1" s="436"/>
      <c r="E1" s="436"/>
      <c r="F1" s="439" t="s">
        <v>338</v>
      </c>
      <c r="G1" s="440"/>
      <c r="H1" s="440"/>
      <c r="I1" s="441"/>
    </row>
    <row r="2" spans="1:9" ht="18" customHeight="1" thickBot="1">
      <c r="A2" s="437"/>
      <c r="B2" s="438"/>
      <c r="C2" s="438"/>
      <c r="D2" s="438"/>
      <c r="E2" s="438"/>
      <c r="F2" s="442"/>
      <c r="G2" s="443"/>
      <c r="H2" s="443"/>
      <c r="I2" s="444"/>
    </row>
    <row r="3" spans="1:9" ht="12.75">
      <c r="A3" s="437"/>
      <c r="B3" s="438"/>
      <c r="C3" s="438"/>
      <c r="D3" s="438"/>
      <c r="E3" s="438"/>
      <c r="F3" s="445" t="s">
        <v>339</v>
      </c>
      <c r="G3" s="446"/>
      <c r="H3" s="446"/>
      <c r="I3" s="447"/>
    </row>
    <row r="4" spans="1:9" ht="21.75" customHeight="1">
      <c r="A4" s="437"/>
      <c r="B4" s="438"/>
      <c r="C4" s="438"/>
      <c r="D4" s="438"/>
      <c r="E4" s="438"/>
      <c r="F4" s="445"/>
      <c r="G4" s="446"/>
      <c r="H4" s="446"/>
      <c r="I4" s="447"/>
    </row>
    <row r="5" spans="1:9" ht="15.75">
      <c r="A5" s="437"/>
      <c r="B5" s="438"/>
      <c r="C5" s="438"/>
      <c r="D5" s="438"/>
      <c r="E5" s="438"/>
      <c r="F5" s="448" t="s">
        <v>340</v>
      </c>
      <c r="G5" s="449"/>
      <c r="H5" s="449"/>
      <c r="I5" s="450"/>
    </row>
    <row r="6" spans="1:9" ht="16.5" thickBot="1">
      <c r="A6" s="437"/>
      <c r="B6" s="438"/>
      <c r="C6" s="438"/>
      <c r="D6" s="438"/>
      <c r="E6" s="438"/>
      <c r="F6" s="451" t="s">
        <v>341</v>
      </c>
      <c r="G6" s="452"/>
      <c r="H6" s="452"/>
      <c r="I6" s="453"/>
    </row>
    <row r="7" spans="1:9" ht="15" thickBot="1">
      <c r="A7" s="204"/>
      <c r="B7" s="205"/>
      <c r="C7" s="205"/>
      <c r="D7" s="205"/>
      <c r="E7" s="205"/>
      <c r="F7" s="205"/>
      <c r="G7" s="205"/>
      <c r="H7" s="205"/>
      <c r="I7" s="206"/>
    </row>
    <row r="8" spans="1:9" ht="15">
      <c r="A8" s="454" t="s">
        <v>342</v>
      </c>
      <c r="B8" s="436"/>
      <c r="C8" s="436"/>
      <c r="D8" s="436"/>
      <c r="E8" s="436"/>
      <c r="F8" s="436"/>
      <c r="G8" s="436"/>
      <c r="H8" s="455"/>
      <c r="I8" s="207" t="s">
        <v>343</v>
      </c>
    </row>
    <row r="9" spans="1:9" ht="14.25">
      <c r="A9" s="424" t="s">
        <v>344</v>
      </c>
      <c r="B9" s="425"/>
      <c r="C9" s="425"/>
      <c r="D9" s="425"/>
      <c r="E9" s="425"/>
      <c r="F9" s="425"/>
      <c r="G9" s="425"/>
      <c r="H9" s="426"/>
      <c r="I9" s="208">
        <v>0.015</v>
      </c>
    </row>
    <row r="10" spans="1:9" ht="15.75" thickBot="1">
      <c r="A10" s="421" t="s">
        <v>345</v>
      </c>
      <c r="B10" s="422"/>
      <c r="C10" s="422"/>
      <c r="D10" s="422"/>
      <c r="E10" s="422"/>
      <c r="F10" s="422"/>
      <c r="G10" s="422"/>
      <c r="H10" s="427"/>
      <c r="I10" s="209">
        <f>SUM(I9:I9)</f>
        <v>0.015</v>
      </c>
    </row>
    <row r="11" spans="1:9" ht="15">
      <c r="A11" s="428" t="s">
        <v>346</v>
      </c>
      <c r="B11" s="429"/>
      <c r="C11" s="429"/>
      <c r="D11" s="429"/>
      <c r="E11" s="429"/>
      <c r="F11" s="429"/>
      <c r="G11" s="429"/>
      <c r="H11" s="430"/>
      <c r="I11" s="210" t="s">
        <v>347</v>
      </c>
    </row>
    <row r="12" spans="1:9" ht="14.25">
      <c r="A12" s="431" t="s">
        <v>348</v>
      </c>
      <c r="B12" s="432"/>
      <c r="C12" s="433"/>
      <c r="D12" s="400"/>
      <c r="E12" s="400"/>
      <c r="F12" s="400"/>
      <c r="G12" s="400"/>
      <c r="H12" s="401"/>
      <c r="I12" s="211">
        <v>0.0105</v>
      </c>
    </row>
    <row r="13" spans="1:9" ht="14.25">
      <c r="A13" s="424" t="s">
        <v>349</v>
      </c>
      <c r="B13" s="425"/>
      <c r="C13" s="425"/>
      <c r="D13" s="425"/>
      <c r="E13" s="425"/>
      <c r="F13" s="425"/>
      <c r="G13" s="425"/>
      <c r="H13" s="434"/>
      <c r="I13" s="212">
        <v>0.0104</v>
      </c>
    </row>
    <row r="14" spans="1:9" ht="14.25">
      <c r="A14" s="407" t="s">
        <v>350</v>
      </c>
      <c r="B14" s="408"/>
      <c r="C14" s="411" t="s">
        <v>351</v>
      </c>
      <c r="D14" s="412"/>
      <c r="E14" s="413"/>
      <c r="F14" s="414"/>
      <c r="G14" s="414"/>
      <c r="H14" s="415"/>
      <c r="I14" s="419">
        <v>0.0062</v>
      </c>
    </row>
    <row r="15" spans="1:9" ht="14.25">
      <c r="A15" s="409"/>
      <c r="B15" s="410"/>
      <c r="C15" s="213">
        <v>6</v>
      </c>
      <c r="D15" s="214" t="s">
        <v>352</v>
      </c>
      <c r="E15" s="416"/>
      <c r="F15" s="417"/>
      <c r="G15" s="417"/>
      <c r="H15" s="418"/>
      <c r="I15" s="420"/>
    </row>
    <row r="16" spans="1:9" ht="15.75" thickBot="1">
      <c r="A16" s="421" t="s">
        <v>353</v>
      </c>
      <c r="B16" s="422"/>
      <c r="C16" s="422"/>
      <c r="D16" s="422"/>
      <c r="E16" s="422"/>
      <c r="F16" s="422"/>
      <c r="G16" s="422"/>
      <c r="H16" s="423"/>
      <c r="I16" s="215">
        <f>SUM(I10:I15)</f>
        <v>0.0421</v>
      </c>
    </row>
    <row r="17" spans="1:9" ht="15">
      <c r="A17" s="396" t="s">
        <v>354</v>
      </c>
      <c r="B17" s="397"/>
      <c r="C17" s="397"/>
      <c r="D17" s="397"/>
      <c r="E17" s="397"/>
      <c r="F17" s="397"/>
      <c r="G17" s="397"/>
      <c r="H17" s="398"/>
      <c r="I17" s="216" t="s">
        <v>347</v>
      </c>
    </row>
    <row r="18" spans="1:9" ht="15">
      <c r="A18" s="217" t="s">
        <v>355</v>
      </c>
      <c r="B18" s="218"/>
      <c r="C18" s="218"/>
      <c r="D18" s="218"/>
      <c r="E18" s="218"/>
      <c r="F18" s="218"/>
      <c r="G18" s="219"/>
      <c r="H18" s="220"/>
      <c r="I18" s="212">
        <v>0.068</v>
      </c>
    </row>
    <row r="19" spans="1:9" ht="14.25">
      <c r="A19" s="379" t="s">
        <v>356</v>
      </c>
      <c r="B19" s="391"/>
      <c r="C19" s="391"/>
      <c r="D19" s="391"/>
      <c r="E19" s="391"/>
      <c r="F19" s="391"/>
      <c r="G19" s="391"/>
      <c r="H19" s="392"/>
      <c r="I19" s="212">
        <f>I18</f>
        <v>0.068</v>
      </c>
    </row>
    <row r="20" spans="1:9" ht="15">
      <c r="A20" s="393" t="s">
        <v>357</v>
      </c>
      <c r="B20" s="394"/>
      <c r="C20" s="394"/>
      <c r="D20" s="394"/>
      <c r="E20" s="394"/>
      <c r="F20" s="394"/>
      <c r="G20" s="394"/>
      <c r="H20" s="395"/>
      <c r="I20" s="215">
        <f>I16+I19</f>
        <v>0.1101</v>
      </c>
    </row>
    <row r="21" spans="1:9" ht="15">
      <c r="A21" s="396" t="s">
        <v>358</v>
      </c>
      <c r="B21" s="397"/>
      <c r="C21" s="397"/>
      <c r="D21" s="397"/>
      <c r="E21" s="397"/>
      <c r="F21" s="397"/>
      <c r="G21" s="397"/>
      <c r="H21" s="398"/>
      <c r="I21" s="221"/>
    </row>
    <row r="22" spans="1:9" ht="14.25">
      <c r="A22" s="399" t="s">
        <v>359</v>
      </c>
      <c r="B22" s="400"/>
      <c r="C22" s="400"/>
      <c r="D22" s="400"/>
      <c r="E22" s="400"/>
      <c r="F22" s="400"/>
      <c r="G22" s="400"/>
      <c r="H22" s="401"/>
      <c r="I22" s="222">
        <v>0.0065</v>
      </c>
    </row>
    <row r="23" spans="1:9" ht="14.25">
      <c r="A23" s="402" t="s">
        <v>360</v>
      </c>
      <c r="B23" s="403"/>
      <c r="C23" s="403"/>
      <c r="D23" s="403"/>
      <c r="E23" s="403"/>
      <c r="F23" s="403"/>
      <c r="G23" s="403"/>
      <c r="H23" s="404"/>
      <c r="I23" s="223">
        <v>0.03</v>
      </c>
    </row>
    <row r="24" spans="1:9" ht="15">
      <c r="A24" s="224" t="s">
        <v>361</v>
      </c>
      <c r="B24" s="405" t="s">
        <v>362</v>
      </c>
      <c r="C24" s="406"/>
      <c r="D24" s="406"/>
      <c r="E24" s="406"/>
      <c r="F24" s="406"/>
      <c r="G24" s="406"/>
      <c r="H24" s="225">
        <v>0.025</v>
      </c>
      <c r="I24" s="226">
        <v>0.025</v>
      </c>
    </row>
    <row r="25" spans="1:9" ht="14.25">
      <c r="A25" s="375" t="s">
        <v>363</v>
      </c>
      <c r="B25" s="376"/>
      <c r="C25" s="377"/>
      <c r="D25" s="227">
        <v>0.045</v>
      </c>
      <c r="E25" s="376" t="s">
        <v>364</v>
      </c>
      <c r="F25" s="376"/>
      <c r="G25" s="376"/>
      <c r="H25" s="378"/>
      <c r="I25" s="226">
        <v>0.045</v>
      </c>
    </row>
    <row r="26" spans="1:9" ht="15">
      <c r="A26" s="379" t="s">
        <v>365</v>
      </c>
      <c r="B26" s="380"/>
      <c r="C26" s="380"/>
      <c r="D26" s="380"/>
      <c r="E26" s="380"/>
      <c r="F26" s="380"/>
      <c r="G26" s="380"/>
      <c r="H26" s="381"/>
      <c r="I26" s="215">
        <f>I22+I23+I24+I25</f>
        <v>0.1065</v>
      </c>
    </row>
    <row r="27" spans="1:9" ht="15">
      <c r="A27" s="382" t="s">
        <v>366</v>
      </c>
      <c r="B27" s="383"/>
      <c r="C27" s="383"/>
      <c r="D27" s="383"/>
      <c r="E27" s="383"/>
      <c r="F27" s="383"/>
      <c r="G27" s="383"/>
      <c r="H27" s="384"/>
      <c r="I27" s="228">
        <f>I30</f>
        <v>0.246018088864018</v>
      </c>
    </row>
    <row r="28" spans="1:9" ht="14.25">
      <c r="A28" s="385" t="s">
        <v>367</v>
      </c>
      <c r="B28" s="386"/>
      <c r="C28" s="386"/>
      <c r="D28" s="386"/>
      <c r="E28" s="386"/>
      <c r="F28" s="386"/>
      <c r="G28" s="386"/>
      <c r="H28" s="387"/>
      <c r="I28" s="229">
        <f>(100%-I27)</f>
        <v>0.753981911135982</v>
      </c>
    </row>
    <row r="29" spans="1:9" ht="14.25">
      <c r="A29" s="388" t="s">
        <v>368</v>
      </c>
      <c r="B29" s="389"/>
      <c r="C29" s="389"/>
      <c r="D29" s="389"/>
      <c r="E29" s="389"/>
      <c r="F29" s="389"/>
      <c r="G29" s="389"/>
      <c r="H29" s="390"/>
      <c r="I29" s="230">
        <v>1</v>
      </c>
    </row>
    <row r="30" spans="1:9" ht="15.75" thickBot="1">
      <c r="A30" s="365" t="s">
        <v>369</v>
      </c>
      <c r="B30" s="366"/>
      <c r="C30" s="366"/>
      <c r="D30" s="366"/>
      <c r="E30" s="366"/>
      <c r="F30" s="366"/>
      <c r="G30" s="366"/>
      <c r="H30" s="367"/>
      <c r="I30" s="231">
        <f>(((1+I10+I14+I13)*(1+I12)*(1+I19))/(1-I26))-1</f>
        <v>0.246018088864018</v>
      </c>
    </row>
    <row r="31" spans="1:9" ht="14.25">
      <c r="A31" s="232"/>
      <c r="B31" s="233"/>
      <c r="C31" s="233"/>
      <c r="D31" s="233"/>
      <c r="E31" s="233"/>
      <c r="F31" s="233"/>
      <c r="G31" s="233"/>
      <c r="H31" s="233"/>
      <c r="I31" s="234"/>
    </row>
    <row r="32" spans="1:9" ht="15">
      <c r="A32" s="368" t="s">
        <v>370</v>
      </c>
      <c r="B32" s="369"/>
      <c r="C32" s="369"/>
      <c r="D32" s="369"/>
      <c r="E32" s="369"/>
      <c r="F32" s="369"/>
      <c r="G32" s="369"/>
      <c r="H32" s="369"/>
      <c r="I32" s="370"/>
    </row>
    <row r="33" spans="1:9" ht="15">
      <c r="A33" s="371" t="s">
        <v>371</v>
      </c>
      <c r="B33" s="372"/>
      <c r="C33" s="235"/>
      <c r="D33" s="235"/>
      <c r="E33" s="235"/>
      <c r="F33" s="235"/>
      <c r="G33" s="235"/>
      <c r="H33" s="235"/>
      <c r="I33" s="236"/>
    </row>
    <row r="34" spans="1:9" ht="15">
      <c r="A34" s="237" t="s">
        <v>372</v>
      </c>
      <c r="B34" s="238"/>
      <c r="C34" s="238"/>
      <c r="D34" s="373" t="s">
        <v>373</v>
      </c>
      <c r="E34" s="373"/>
      <c r="F34" s="373"/>
      <c r="G34" s="373"/>
      <c r="H34" s="373"/>
      <c r="I34" s="374"/>
    </row>
    <row r="35" spans="1:9" ht="15">
      <c r="A35" s="239" t="s">
        <v>374</v>
      </c>
      <c r="B35" s="238"/>
      <c r="C35" s="238"/>
      <c r="D35" s="373"/>
      <c r="E35" s="373"/>
      <c r="F35" s="373"/>
      <c r="G35" s="373"/>
      <c r="H35" s="373"/>
      <c r="I35" s="374"/>
    </row>
    <row r="36" spans="1:9" ht="15.75" thickBot="1">
      <c r="A36" s="240"/>
      <c r="B36" s="241"/>
      <c r="C36" s="241"/>
      <c r="D36" s="241"/>
      <c r="E36" s="241"/>
      <c r="F36" s="241"/>
      <c r="G36" s="241"/>
      <c r="H36" s="241"/>
      <c r="I36" s="242"/>
    </row>
  </sheetData>
  <sheetProtection/>
  <mergeCells count="34">
    <mergeCell ref="A1:E6"/>
    <mergeCell ref="F1:I2"/>
    <mergeCell ref="F3:I4"/>
    <mergeCell ref="F5:I5"/>
    <mergeCell ref="F6:I6"/>
    <mergeCell ref="A8:H8"/>
    <mergeCell ref="A9:H9"/>
    <mergeCell ref="A10:H10"/>
    <mergeCell ref="A11:H11"/>
    <mergeCell ref="A12:B12"/>
    <mergeCell ref="C12:H12"/>
    <mergeCell ref="A13:H13"/>
    <mergeCell ref="A14:B15"/>
    <mergeCell ref="C14:D14"/>
    <mergeCell ref="E14:H15"/>
    <mergeCell ref="I14:I15"/>
    <mergeCell ref="A16:H16"/>
    <mergeCell ref="A17:H17"/>
    <mergeCell ref="A19:H19"/>
    <mergeCell ref="A20:H20"/>
    <mergeCell ref="A21:H21"/>
    <mergeCell ref="A22:H22"/>
    <mergeCell ref="A23:H23"/>
    <mergeCell ref="B24:G24"/>
    <mergeCell ref="A30:H30"/>
    <mergeCell ref="A32:I32"/>
    <mergeCell ref="A33:B33"/>
    <mergeCell ref="D34:I35"/>
    <mergeCell ref="A25:C25"/>
    <mergeCell ref="E25:H25"/>
    <mergeCell ref="A26:H26"/>
    <mergeCell ref="A27:H27"/>
    <mergeCell ref="A28:H28"/>
    <mergeCell ref="A29:H2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LICITACAO 1</cp:lastModifiedBy>
  <cp:lastPrinted>2021-06-23T19:18:09Z</cp:lastPrinted>
  <dcterms:created xsi:type="dcterms:W3CDTF">2005-05-06T14:48:20Z</dcterms:created>
  <dcterms:modified xsi:type="dcterms:W3CDTF">2021-06-23T19:18:14Z</dcterms:modified>
  <cp:category/>
  <cp:version/>
  <cp:contentType/>
  <cp:contentStatus/>
</cp:coreProperties>
</file>